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Schug\QM\06-Konformität_Kundenanforderungen\2_Conflict Metals\Konformitaetserklaerungen_Kunden\"/>
    </mc:Choice>
  </mc:AlternateContent>
  <xr:revisionPtr revIDLastSave="0" documentId="8_{7BC74727-CEF6-4E65-B557-8AF932CC018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7" i="5" l="1"/>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24" i="5" l="1"/>
  <c r="AB1401" i="5"/>
  <c r="T76" i="5"/>
  <c r="T391" i="5"/>
  <c r="AB446" i="5"/>
  <c r="AB450" i="5"/>
  <c r="AB481" i="5"/>
  <c r="R528" i="5"/>
  <c r="AB552" i="5"/>
  <c r="AB674" i="5"/>
  <c r="G681" i="5"/>
  <c r="AB720" i="5"/>
  <c r="AB858" i="5"/>
  <c r="T1078" i="5"/>
  <c r="S1748" i="5"/>
  <c r="T1883" i="5"/>
  <c r="T2133" i="5"/>
  <c r="S2428" i="5"/>
  <c r="AB1437" i="5"/>
  <c r="S1596" i="5"/>
  <c r="T1814" i="5"/>
  <c r="AB2402" i="5"/>
  <c r="T788" i="5"/>
  <c r="S918" i="5"/>
  <c r="S1000" i="5"/>
  <c r="AB1115" i="5"/>
  <c r="AB1293" i="5"/>
  <c r="AB1353" i="5"/>
  <c r="T2060" i="5"/>
  <c r="T2248" i="5"/>
  <c r="S903" i="5"/>
  <c r="AB1757" i="5"/>
  <c r="AB2088" i="5"/>
  <c r="AB488" i="5"/>
  <c r="T585" i="5"/>
  <c r="S1754" i="5"/>
  <c r="AB2069" i="5"/>
  <c r="AB207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J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J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R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R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R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H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E1508" i="5" s="1"/>
  <c r="X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H2480" i="5" s="1"/>
  <c r="I2484" i="5"/>
  <c r="E2494" i="5"/>
  <c r="H2503" i="5"/>
  <c r="AB2386"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9" i="5"/>
  <c r="J273" i="5"/>
  <c r="J285" i="5"/>
  <c r="J289"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G860" i="5"/>
  <c r="AB860" i="5"/>
  <c r="AB861" i="5"/>
  <c r="G864" i="5"/>
  <c r="AB864" i="5"/>
  <c r="F873" i="5"/>
  <c r="S877"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G1098" i="5"/>
  <c r="I1099" i="5"/>
  <c r="G1102" i="5"/>
  <c r="I1103" i="5"/>
  <c r="G1106" i="5"/>
  <c r="G1110" i="5"/>
  <c r="I1111" i="5"/>
  <c r="G1114" i="5"/>
  <c r="G1118" i="5"/>
  <c r="I1119" i="5"/>
  <c r="G1122"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91" i="5"/>
  <c r="R995" i="5"/>
  <c r="R999" i="5"/>
  <c r="R1007" i="5"/>
  <c r="R1011" i="5"/>
  <c r="R1019" i="5"/>
  <c r="R1023" i="5"/>
  <c r="R1027" i="5"/>
  <c r="R1031" i="5"/>
  <c r="R1039" i="5"/>
  <c r="R1043" i="5"/>
  <c r="R1047" i="5"/>
  <c r="R1051" i="5"/>
  <c r="R1059" i="5"/>
  <c r="R1063" i="5"/>
  <c r="R1067" i="5"/>
  <c r="R1071" i="5"/>
  <c r="R1075" i="5"/>
  <c r="R1079"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H1508" i="5"/>
  <c r="F1508" i="5"/>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R2342" i="5" l="1"/>
  <c r="J1233" i="5"/>
  <c r="I987" i="5"/>
  <c r="E967" i="5"/>
  <c r="X967" i="5" s="1"/>
  <c r="R102" i="5"/>
  <c r="I1233" i="5"/>
  <c r="J556" i="5"/>
  <c r="G987" i="5"/>
  <c r="F2363" i="5"/>
  <c r="F2293" i="5"/>
  <c r="E2011" i="5"/>
  <c r="X2011" i="5" s="1"/>
  <c r="J1859" i="5"/>
  <c r="F1527" i="5"/>
  <c r="I1508" i="5"/>
  <c r="R1253" i="5"/>
  <c r="R987" i="5"/>
  <c r="G1126" i="5"/>
  <c r="F883" i="5"/>
  <c r="H578" i="5"/>
  <c r="J2342" i="5"/>
  <c r="E2480" i="5"/>
  <c r="X2480" i="5" s="1"/>
  <c r="H2363" i="5"/>
  <c r="H2293" i="5"/>
  <c r="R1859" i="5"/>
  <c r="R1645" i="5"/>
  <c r="H1700" i="5"/>
  <c r="E1253" i="5"/>
  <c r="X1253" i="5" s="1"/>
  <c r="I1123" i="5"/>
  <c r="I1015" i="5"/>
  <c r="I856" i="5"/>
  <c r="I883" i="5"/>
  <c r="I578" i="5"/>
  <c r="H265" i="5"/>
  <c r="J201" i="5"/>
  <c r="H2397" i="5"/>
  <c r="H987" i="5"/>
  <c r="I2342" i="5"/>
  <c r="F265" i="5"/>
  <c r="F2480" i="5"/>
  <c r="I2363" i="5"/>
  <c r="E2363" i="5"/>
  <c r="X2363" i="5" s="1"/>
  <c r="I2293" i="5"/>
  <c r="E1859" i="5"/>
  <c r="X1859" i="5" s="1"/>
  <c r="I1700" i="5"/>
  <c r="R1297" i="5"/>
  <c r="E1222" i="5"/>
  <c r="X1222" i="5" s="1"/>
  <c r="R1015" i="5"/>
  <c r="F856" i="5"/>
  <c r="R852" i="5"/>
  <c r="R883" i="5"/>
  <c r="J578" i="5"/>
  <c r="J265" i="5"/>
  <c r="J115" i="5"/>
  <c r="E115" i="5"/>
  <c r="X115" i="5" s="1"/>
  <c r="R115" i="5"/>
  <c r="G2480" i="5"/>
  <c r="R2363" i="5"/>
  <c r="E2293" i="5"/>
  <c r="X2293" i="5" s="1"/>
  <c r="R2293" i="5"/>
  <c r="J1700" i="5"/>
  <c r="E1297" i="5"/>
  <c r="X1297" i="5" s="1"/>
  <c r="F1222" i="5"/>
  <c r="H1233" i="5"/>
  <c r="R1204" i="5"/>
  <c r="F967" i="5"/>
  <c r="G856" i="5"/>
  <c r="G851" i="5"/>
  <c r="R856" i="5"/>
  <c r="E851" i="5"/>
  <c r="X851" i="5" s="1"/>
  <c r="H856" i="5"/>
  <c r="I602" i="5"/>
  <c r="E602" i="5"/>
  <c r="X602" i="5" s="1"/>
  <c r="R2397" i="5"/>
  <c r="J2480" i="5"/>
  <c r="J2363" i="5"/>
  <c r="J1774" i="5"/>
  <c r="R1712" i="5"/>
  <c r="I1381" i="5"/>
  <c r="R1309" i="5"/>
  <c r="G1204" i="5"/>
  <c r="I1126" i="5"/>
  <c r="I1204" i="5"/>
  <c r="I967" i="5"/>
  <c r="I943" i="5"/>
  <c r="E856" i="5"/>
  <c r="X856" i="5" s="1"/>
  <c r="I851" i="5"/>
  <c r="J602" i="5"/>
  <c r="I265" i="5"/>
  <c r="H297" i="5"/>
  <c r="E1126" i="5"/>
  <c r="X1126" i="5" s="1"/>
  <c r="E2397" i="5"/>
  <c r="X2397" i="5" s="1"/>
  <c r="F1936" i="5"/>
  <c r="F1859" i="5"/>
  <c r="E1712" i="5"/>
  <c r="X1712" i="5" s="1"/>
  <c r="E1381" i="5"/>
  <c r="X1381" i="5" s="1"/>
  <c r="E1309" i="5"/>
  <c r="X1309" i="5" s="1"/>
  <c r="H1222" i="5"/>
  <c r="I1095" i="5"/>
  <c r="J1126" i="5"/>
  <c r="R967" i="5"/>
  <c r="H967" i="5"/>
  <c r="E783" i="5"/>
  <c r="X783" i="5" s="1"/>
  <c r="E717" i="5"/>
  <c r="X717" i="5" s="1"/>
  <c r="H602" i="5"/>
  <c r="J297" i="5"/>
  <c r="J102" i="5"/>
  <c r="H2342" i="5"/>
  <c r="F1309" i="5"/>
  <c r="F1233" i="5"/>
  <c r="C11" i="6"/>
  <c r="C7" i="6"/>
  <c r="B32" i="6"/>
  <c r="G32" i="6" s="1"/>
  <c r="C12" i="6"/>
  <c r="C10" i="6"/>
  <c r="C9"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1" i="6" s="1"/>
  <c r="X18" i="5"/>
  <c r="B52" i="6"/>
  <c r="G52" i="6" s="1"/>
  <c r="B37" i="6"/>
  <c r="G37" i="6" s="1"/>
  <c r="B42" i="6"/>
  <c r="G42" i="6" s="1"/>
  <c r="B40" i="6"/>
  <c r="G40" i="6" s="1"/>
  <c r="B50" i="6"/>
  <c r="G50" i="6" s="1"/>
  <c r="B25" i="6"/>
  <c r="G25" i="6" s="1"/>
  <c r="H25" i="6" s="1"/>
  <c r="B35" i="6"/>
  <c r="G35" i="6" s="1"/>
  <c r="C17" i="5"/>
  <c r="X6" i="5"/>
  <c r="B39" i="6"/>
  <c r="G39" i="6" s="1"/>
  <c r="F24" i="6"/>
  <c r="F3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6" i="6"/>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2" i="6" l="1"/>
  <c r="D42" i="6" s="1"/>
  <c r="F29" i="6"/>
  <c r="H29" i="6" s="1"/>
  <c r="H36" i="6"/>
  <c r="D36" i="6" s="1"/>
  <c r="H50" i="6"/>
  <c r="D50" i="6" s="1"/>
  <c r="H24" i="6"/>
  <c r="F39" i="6"/>
  <c r="H39" i="6" s="1"/>
  <c r="D39" i="6" s="1"/>
  <c r="F49" i="6"/>
  <c r="H49" i="6" s="1"/>
  <c r="D49" i="6" s="1"/>
  <c r="F41" i="6"/>
  <c r="H41" i="6" s="1"/>
  <c r="D41" i="6" s="1"/>
  <c r="F46" i="6"/>
  <c r="H46" i="6" s="1"/>
  <c r="D46" i="6" s="1"/>
  <c r="H26" i="6"/>
  <c r="C26" i="6" s="1"/>
  <c r="F51" i="6"/>
  <c r="H51" i="6" s="1"/>
  <c r="D51" i="6" s="1"/>
  <c r="F54" i="6"/>
  <c r="F57" i="6" s="1"/>
  <c r="H57" i="6" s="1"/>
  <c r="H40" i="6"/>
  <c r="D40" i="6" s="1"/>
  <c r="H35" i="6"/>
  <c r="D35" i="6" s="1"/>
  <c r="H45" i="6"/>
  <c r="D45" i="6" s="1"/>
  <c r="F65" i="6"/>
  <c r="C2" i="6" s="1"/>
  <c r="F44" i="6"/>
  <c r="H44" i="6" s="1"/>
  <c r="D44"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G68" i="6" s="1"/>
  <c r="H68" i="6" s="1"/>
  <c r="D68" i="6" s="1"/>
  <c r="V17" i="5"/>
  <c r="G17" i="5" s="1"/>
  <c r="V15" i="5"/>
  <c r="G15" i="5" s="1"/>
  <c r="AB7" i="5"/>
  <c r="V13" i="5"/>
  <c r="G13" i="5" s="1"/>
  <c r="V7" i="5"/>
  <c r="F69" i="6"/>
  <c r="C69" i="6" s="1"/>
  <c r="H34" i="6"/>
  <c r="H32" i="6"/>
  <c r="D19" i="6"/>
  <c r="C19" i="6"/>
  <c r="K65" i="6"/>
  <c r="D24" i="6"/>
  <c r="C24" i="6"/>
  <c r="X100" i="5"/>
  <c r="D27" i="6"/>
  <c r="C27" i="6"/>
  <c r="C36" i="6"/>
  <c r="C42" i="6"/>
  <c r="C41" i="6"/>
  <c r="C20" i="6"/>
  <c r="D20" i="6"/>
  <c r="F58" i="6"/>
  <c r="H58" i="6" s="1"/>
  <c r="C37" i="6"/>
  <c r="D25" i="6"/>
  <c r="C25" i="6"/>
  <c r="D26" i="6"/>
  <c r="D21" i="6"/>
  <c r="C21" i="6"/>
  <c r="C39" i="6"/>
  <c r="D22" i="6"/>
  <c r="C22" i="6"/>
  <c r="H47" i="6"/>
  <c r="D47" i="6" s="1"/>
  <c r="C52" i="6"/>
  <c r="C50" i="6" l="1"/>
  <c r="C44" i="6"/>
  <c r="C40" i="6"/>
  <c r="F55" i="6"/>
  <c r="C51" i="6"/>
  <c r="C46" i="6"/>
  <c r="C35" i="6"/>
  <c r="F59" i="6"/>
  <c r="H59" i="6" s="1"/>
  <c r="D59" i="6" s="1"/>
  <c r="F62" i="6"/>
  <c r="H62" i="6" s="1"/>
  <c r="C62" i="6" s="1"/>
  <c r="F63" i="6"/>
  <c r="H63" i="6" s="1"/>
  <c r="C63" i="6" s="1"/>
  <c r="H54" i="6"/>
  <c r="D54" i="6" s="1"/>
  <c r="B2" i="6"/>
  <c r="F60" i="6"/>
  <c r="H60" i="6" s="1"/>
  <c r="C45"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T12" i="5" s="1"/>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T14" i="5" s="1"/>
  <c r="H14" i="5"/>
  <c r="E14" i="5"/>
  <c r="F14" i="5"/>
  <c r="C68" i="6"/>
  <c r="C49" i="6"/>
  <c r="C47" i="6"/>
  <c r="C60" i="6"/>
  <c r="D60" i="6"/>
  <c r="D58" i="6"/>
  <c r="C58" i="6"/>
  <c r="D63" i="6"/>
  <c r="D62" i="6"/>
  <c r="D57" i="6"/>
  <c r="C57" i="6"/>
  <c r="F56" i="6"/>
  <c r="H56" i="6" s="1"/>
  <c r="H55" i="6"/>
  <c r="T17" i="5"/>
  <c r="T16" i="5"/>
  <c r="T13" i="5"/>
  <c r="T15" i="5"/>
  <c r="T11" i="5"/>
  <c r="T8" i="5"/>
  <c r="T9" i="5"/>
  <c r="T7" i="5"/>
  <c r="T10" i="5"/>
  <c r="C54" i="6" l="1"/>
  <c r="C59" i="6"/>
  <c r="X13" i="5"/>
  <c r="X10" i="5"/>
  <c r="D65" i="6"/>
  <c r="X9" i="5"/>
  <c r="X12" i="5"/>
  <c r="X14" i="5"/>
  <c r="X17" i="5"/>
  <c r="S17" i="5"/>
  <c r="D66" i="6"/>
  <c r="C67" i="6"/>
  <c r="X11" i="5"/>
  <c r="X15" i="5"/>
  <c r="X8" i="5"/>
  <c r="X7" i="5"/>
  <c r="G69" i="6"/>
  <c r="H69" i="6" s="1"/>
  <c r="H70" i="6" s="1"/>
  <c r="D2" i="6" s="1"/>
  <c r="X16" i="5"/>
  <c r="S16" i="5"/>
  <c r="D55" i="6"/>
  <c r="C55" i="6"/>
  <c r="D56" i="6"/>
  <c r="C56" i="6"/>
  <c r="S14" i="5"/>
  <c r="S12" i="5"/>
  <c r="S15" i="5"/>
  <c r="S13" i="5"/>
  <c r="S11" i="5"/>
  <c r="S10" i="5"/>
  <c r="S9" i="5"/>
  <c r="S8"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<sst xmlns="http://schemas.openxmlformats.org/spreadsheetml/2006/main" count="21845" uniqueCount="15517">
  <si>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</si>
  <si>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</si>
  <si>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</si>
  <si>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</si>
  <si>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</si>
  <si>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</si>
  <si>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</si>
  <si>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</si>
  <si>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</si>
  <si>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</si>
  <si>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</si>
  <si>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</si>
  <si>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</si>
  <si>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</si>
  <si>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</si>
  <si>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</si>
  <si>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</si>
  <si>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</si>
  <si>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</si>
  <si>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</si>
  <si>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</si>
  <si>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</si>
  <si>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</si>
  <si>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</si>
  <si>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</si>
  <si>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</si>
  <si>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</si>
  <si>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</si>
  <si>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</si>
  <si>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</si>
  <si>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</si>
  <si>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</si>
  <si>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</si>
  <si>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</si>
  <si>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</si>
  <si>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</si>
  <si>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</si>
  <si>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</si>
  <si>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</si>
  <si>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</si>
  <si>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</si>
  <si>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</si>
  <si>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</si>
  <si>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</si>
  <si>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</si>
  <si>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</si>
  <si>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</si>
  <si>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</si>
  <si>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</si>
  <si>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</si>
  <si>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</si>
  <si>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</si>
  <si>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</si>
  <si>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</si>
  <si>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</si>
  <si>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</si>
  <si>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</si>
  <si>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</si>
  <si>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</si>
  <si>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</si>
  <si>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</si>
  <si>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</si>
  <si>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</si>
  <si>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</si>
  <si>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</si>
  <si>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</si>
  <si>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</si>
  <si>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</si>
  <si>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</si>
  <si>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</si>
  <si>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</si>
  <si>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</si>
  <si>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</si>
  <si>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</si>
  <si>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</si>
  <si>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</si>
  <si>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</si>
  <si>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</si>
  <si>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</si>
  <si>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</si>
  <si>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</si>
  <si>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</si>
  <si>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</si>
  <si>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</si>
  <si>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</si>
  <si>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</si>
  <si>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</si>
  <si>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</si>
  <si>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</si>
  <si>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</si>
  <si>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</si>
  <si>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</si>
  <si>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</si>
  <si>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</si>
  <si>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</si>
  <si>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</si>
  <si>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</si>
  <si>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</si>
  <si>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</si>
  <si>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</si>
  <si>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</si>
  <si>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</si>
  <si>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</si>
  <si>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</si>
  <si>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</si>
  <si>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</si>
  <si>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</si>
  <si>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</si>
  <si>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</si>
  <si>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</si>
  <si>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</si>
  <si>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</si>
  <si>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</si>
  <si>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</si>
  <si>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</si>
  <si>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</si>
  <si>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</si>
  <si>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</si>
  <si>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</si>
  <si>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</si>
  <si>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</si>
  <si>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</si>
  <si>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</si>
  <si>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</si>
  <si>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</si>
  <si>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</si>
  <si>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</si>
  <si>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</si>
  <si>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</si>
  <si>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</si>
  <si>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</si>
  <si>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</si>
  <si>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</si>
  <si>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</si>
  <si>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</si>
  <si>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</si>
  <si>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</si>
  <si>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</si>
  <si>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</si>
  <si>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</si>
  <si>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</si>
  <si>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</si>
  <si>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</si>
  <si>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</si>
  <si>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</si>
  <si>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</si>
  <si>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</si>
  <si>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</si>
  <si>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</si>
  <si>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</si>
  <si>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</si>
  <si>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</si>
  <si>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</si>
  <si>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</si>
  <si>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</si>
  <si>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</si>
  <si>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</si>
  <si>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</si>
  <si>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</si>
  <si>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</si>
  <si>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</si>
  <si>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</si>
  <si>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</si>
  <si>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</si>
  <si>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</si>
  <si>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</si>
  <si>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</si>
  <si>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</si>
  <si>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</si>
  <si>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</si>
  <si>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</si>
  <si>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</si>
  <si>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</si>
  <si>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</si>
  <si>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</si>
  <si>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</si>
  <si>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</si>
  <si>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</si>
  <si>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</si>
  <si>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</si>
  <si>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</si>
  <si>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</si>
  <si>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</si>
  <si>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</si>
  <si>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</si>
  <si>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</si>
  <si>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</si>
  <si>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</si>
  <si>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</si>
  <si>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</si>
  <si>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</si>
  <si>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</si>
  <si>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</si>
  <si>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</si>
  <si>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</si>
  <si>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</si>
  <si>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</si>
  <si>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</si>
  <si>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</si>
  <si>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</si>
  <si>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</si>
  <si>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</si>
  <si>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</si>
  <si>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</si>
  <si>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</si>
  <si>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</si>
  <si>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</si>
  <si>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</si>
  <si>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</si>
  <si>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</si>
  <si>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</si>
  <si>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</si>
  <si>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</si>
  <si>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</si>
  <si>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</si>
  <si>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</si>
  <si>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</si>
  <si>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</si>
  <si>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</si>
  <si>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</si>
  <si>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</si>
  <si>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</si>
  <si>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</si>
  <si>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</si>
  <si>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</si>
  <si>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</si>
  <si>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</si>
  <si>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</si>
  <si>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</si>
  <si>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</si>
  <si>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</si>
  <si>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</si>
  <si>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</si>
  <si>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</si>
  <si>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</si>
  <si>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</si>
  <si>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</si>
  <si>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</si>
  <si>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</si>
  <si>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</si>
  <si>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</si>
  <si>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</si>
  <si>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</si>
  <si>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</si>
  <si>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</si>
  <si>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</si>
  <si>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</si>
  <si>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</si>
  <si>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</si>
  <si>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</si>
  <si>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</si>
  <si>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</si>
  <si>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</si>
  <si>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</si>
  <si>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</si>
  <si>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</si>
  <si>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</si>
  <si>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</si>
  <si>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</si>
  <si>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</si>
  <si>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</si>
  <si>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</si>
  <si>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</si>
  <si>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</si>
  <si>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</si>
  <si>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</si>
  <si>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</si>
  <si>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</si>
  <si>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</si>
  <si>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</si>
  <si>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</si>
  <si>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</si>
  <si>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</si>
  <si>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</si>
  <si>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</si>
  <si>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</si>
  <si>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</si>
  <si>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</si>
  <si>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</si>
  <si>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</si>
  <si>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</si>
  <si>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</si>
  <si>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</si>
  <si>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</si>
  <si>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</si>
  <si>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</si>
  <si>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</si>
  <si>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</si>
  <si>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</si>
  <si>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</si>
  <si>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</si>
  <si>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</si>
  <si>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</si>
  <si>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</si>
  <si>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</si>
  <si>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</si>
  <si>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</si>
  <si>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</si>
  <si>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</si>
  <si>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</si>
  <si>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</si>
  <si>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</si>
  <si>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</si>
  <si>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</si>
  <si>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</si>
  <si>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</si>
  <si>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</si>
  <si>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</si>
  <si>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</si>
  <si>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</si>
  <si>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</si>
  <si>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</si>
  <si>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</si>
  <si>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</si>
  <si>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</si>
  <si>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</si>
  <si>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</si>
  <si>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</si>
  <si>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</si>
  <si>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</si>
  <si>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</si>
  <si>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</si>
  <si>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</si>
  <si>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</si>
  <si>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</si>
  <si>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</si>
  <si>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</si>
  <si>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</si>
  <si>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</si>
  <si>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</si>
  <si>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</si>
  <si>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</si>
  <si>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</si>
  <si>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</si>
  <si>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</si>
  <si>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</si>
  <si>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</si>
  <si>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</si>
  <si>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</si>
  <si>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</si>
  <si>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</si>
  <si>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</si>
  <si>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</si>
  <si>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</si>
  <si>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</si>
  <si>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</si>
  <si>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</si>
  <si>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</si>
  <si>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</si>
  <si>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</si>
  <si>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</si>
  <si>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</si>
  <si>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</si>
  <si>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</si>
  <si>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</si>
  <si>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</si>
  <si>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</si>
  <si>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</si>
  <si>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</si>
  <si>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</si>
  <si>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</si>
  <si>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</si>
  <si>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</si>
  <si>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</si>
  <si>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</si>
  <si>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</si>
  <si>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</si>
  <si>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</si>
  <si>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</si>
  <si>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</si>
  <si>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</si>
  <si>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</si>
  <si>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</si>
  <si>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</si>
  <si>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</si>
  <si>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</si>
  <si>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</si>
  <si>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</si>
  <si>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</si>
  <si>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</si>
  <si>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</si>
  <si>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</si>
  <si>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</si>
  <si>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</si>
  <si>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</si>
  <si>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</si>
  <si>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</si>
  <si>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</si>
  <si>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</si>
  <si>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</si>
  <si>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</si>
  <si>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</si>
  <si>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</si>
  <si>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</si>
  <si>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</si>
  <si>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</si>
  <si>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</si>
  <si>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</si>
  <si>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</si>
  <si>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</si>
  <si>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</si>
  <si>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</si>
  <si>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</si>
  <si>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</si>
  <si>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</si>
  <si>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</si>
  <si>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</si>
  <si>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</si>
  <si>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</si>
  <si>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</si>
  <si>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</si>
  <si>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</si>
  <si>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</si>
  <si>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</si>
  <si>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</si>
  <si>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</si>
  <si>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</si>
  <si>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</si>
  <si>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</si>
  <si>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</si>
  <si>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</si>
  <si>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</si>
  <si>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</si>
  <si>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</si>
  <si>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</si>
  <si>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</si>
  <si>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</si>
  <si>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</si>
  <si>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</si>
  <si>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</si>
  <si>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</si>
  <si>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</si>
  <si>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</si>
  <si>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</si>
  <si>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</si>
  <si>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</si>
  <si>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</si>
  <si>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</si>
  <si>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</si>
  <si>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</si>
  <si>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</si>
  <si>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</si>
  <si>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</si>
  <si>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</si>
  <si>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</si>
  <si>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</si>
  <si>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</si>
  <si>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</si>
  <si>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</si>
  <si>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</si>
  <si>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</si>
  <si>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</si>
  <si>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</si>
  <si>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</si>
  <si>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</si>
  <si>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</si>
  <si>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</si>
  <si>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</si>
  <si>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</si>
  <si>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</si>
  <si>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</si>
  <si>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</si>
  <si>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</si>
  <si>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</si>
  <si>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</si>
  <si>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</si>
  <si>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</si>
  <si>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</si>
  <si>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</si>
  <si>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</si>
  <si>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</si>
  <si>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</si>
  <si>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</si>
  <si>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</si>
  <si>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</si>
  <si>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</si>
  <si>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</si>
  <si>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</si>
  <si>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</si>
  <si>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</si>
  <si>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</si>
  <si>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</si>
  <si>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</si>
  <si>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</si>
  <si>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</si>
  <si>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</si>
  <si>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</si>
  <si>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</si>
  <si>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</si>
  <si>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</si>
  <si>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</si>
  <si>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</si>
  <si>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</si>
  <si>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</si>
  <si>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</si>
  <si>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</si>
  <si>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</si>
  <si>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</si>
  <si>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</si>
  <si>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</si>
  <si>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</si>
  <si>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</si>
  <si>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</si>
  <si>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</si>
  <si>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</si>
  <si>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</si>
  <si>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</si>
  <si>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</si>
  <si>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</si>
  <si>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</si>
  <si>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</si>
  <si>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</si>
  <si>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</si>
  <si>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</si>
  <si>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</si>
  <si>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</si>
  <si>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</si>
  <si>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</si>
  <si>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</si>
  <si>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</si>
  <si>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</si>
  <si>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</si>
  <si>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</si>
  <si>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</si>
  <si>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</si>
  <si>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</si>
  <si>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</si>
  <si>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</si>
  <si>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</si>
  <si>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</si>
  <si>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</si>
  <si>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</si>
  <si>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</si>
  <si>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</si>
  <si>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</si>
  <si>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</si>
  <si>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</si>
  <si>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</si>
  <si>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</si>
  <si>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</si>
  <si>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</si>
  <si>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</si>
  <si>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</si>
  <si>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</si>
  <si>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</si>
  <si>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</si>
  <si>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</si>
  <si>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</si>
  <si>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</si>
  <si>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</si>
  <si>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</si>
  <si>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</si>
  <si>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</si>
  <si>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</si>
  <si>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</si>
  <si>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</si>
  <si>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</si>
  <si>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</si>
  <si>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</si>
  <si>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</si>
  <si>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</si>
  <si>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</si>
  <si>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</si>
  <si>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</si>
  <si>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</si>
  <si>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</si>
  <si>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</si>
  <si>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</si>
  <si>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</si>
  <si>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</si>
  <si>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</si>
  <si>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</si>
  <si>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</si>
  <si>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</si>
  <si>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</si>
  <si>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</si>
  <si>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</si>
  <si>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</si>
  <si>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</si>
  <si>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</si>
  <si>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</si>
  <si>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</si>
  <si>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</si>
  <si>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</si>
  <si>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</si>
  <si>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</si>
  <si>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</si>
  <si>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</si>
  <si>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</si>
  <si>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</si>
  <si>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</si>
  <si>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</si>
  <si>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</si>
  <si>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</si>
  <si>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</si>
  <si>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</si>
  <si>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</si>
  <si>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</si>
  <si>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</si>
  <si>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</si>
  <si>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</si>
  <si>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</si>
  <si>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</si>
  <si>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</si>
  <si>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</si>
  <si>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</si>
  <si>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</si>
  <si>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</si>
  <si>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</si>
  <si>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</si>
  <si>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</si>
  <si>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</si>
  <si>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</si>
  <si>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</si>
  <si>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</si>
  <si>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</si>
  <si>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</si>
  <si>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</si>
  <si>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</si>
  <si>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</si>
  <si>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</si>
  <si>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</si>
  <si>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</si>
  <si>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</si>
  <si>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</si>
  <si>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</si>
  <si>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</si>
  <si>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</si>
  <si>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</si>
  <si>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</si>
  <si>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</si>
  <si>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</si>
  <si>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</si>
  <si>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</si>
  <si>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</si>
  <si>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</si>
  <si>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</si>
  <si>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</si>
  <si>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</si>
  <si>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</si>
  <si>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</si>
  <si>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</si>
  <si>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</si>
  <si>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</si>
  <si>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</si>
  <si>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</si>
  <si>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</si>
  <si>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</si>
  <si>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</si>
  <si>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</si>
  <si>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</si>
  <si>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</si>
  <si>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</si>
  <si>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</si>
  <si>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</si>
  <si>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</si>
  <si>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</si>
  <si>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</si>
  <si>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</si>
  <si>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</si>
  <si>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</si>
  <si>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</si>
  <si>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</si>
  <si>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</si>
  <si>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</si>
  <si>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</si>
  <si>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</si>
  <si>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</si>
  <si>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</si>
  <si>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</si>
  <si>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</si>
  <si>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</si>
  <si>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</si>
  <si>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</si>
  <si>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</si>
  <si>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</si>
  <si>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</si>
  <si>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</si>
  <si>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</si>
  <si>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</si>
  <si>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</si>
  <si>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</si>
  <si>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</si>
  <si>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</si>
  <si>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</si>
  <si>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</si>
  <si>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</si>
  <si>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</si>
  <si>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</si>
  <si>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</si>
  <si>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</si>
  <si>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</si>
  <si>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</si>
  <si>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</si>
  <si>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</si>
  <si>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</si>
  <si>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</si>
  <si>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</si>
  <si>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</si>
  <si>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</si>
  <si>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</si>
  <si>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</si>
  <si>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</si>
  <si>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</si>
  <si>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</si>
  <si>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</si>
  <si>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</si>
  <si>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</si>
  <si>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</si>
  <si>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</si>
  <si>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</si>
  <si>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</si>
  <si>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</si>
  <si>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</si>
  <si>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</si>
  <si>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</si>
  <si>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</si>
  <si>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</si>
  <si>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</si>
  <si>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</si>
  <si>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</si>
  <si>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</si>
  <si>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</si>
  <si>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</si>
  <si>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</si>
  <si>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</si>
  <si>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</si>
  <si>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</si>
  <si>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</si>
  <si>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</si>
  <si>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</si>
  <si>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</si>
  <si>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</si>
  <si>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</si>
  <si>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</si>
  <si>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</si>
  <si>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</si>
  <si>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</si>
  <si>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</si>
  <si>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</si>
  <si>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</si>
  <si>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</si>
  <si>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</si>
  <si>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</si>
  <si>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</si>
  <si>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</si>
  <si>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</si>
  <si>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</si>
  <si>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</si>
  <si>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</si>
  <si>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</si>
  <si>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</si>
  <si>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</si>
  <si>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</si>
  <si>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</si>
  <si>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</si>
  <si>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</si>
  <si>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</si>
  <si>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</si>
  <si>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</si>
  <si>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</si>
  <si>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</si>
  <si>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</si>
  <si>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</si>
  <si>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</si>
  <si>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</si>
  <si>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</si>
  <si>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</si>
  <si>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</si>
  <si>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</si>
  <si>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</si>
  <si>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</si>
  <si>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</si>
  <si>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</si>
  <si>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</si>
  <si>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</si>
  <si>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</si>
  <si>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</si>
  <si>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</si>
  <si>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</si>
  <si>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</si>
  <si>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</si>
  <si>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</si>
  <si>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</si>
  <si>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</si>
  <si>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</si>
  <si>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</si>
  <si>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</si>
  <si>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</si>
  <si>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</si>
  <si>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</si>
  <si>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</si>
  <si>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</si>
  <si>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</si>
  <si>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</si>
  <si>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</si>
  <si>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</si>
  <si>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</si>
  <si>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</si>
  <si>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</si>
  <si>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</si>
  <si>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</si>
  <si>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</si>
  <si>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</si>
  <si>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</si>
  <si>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</si>
  <si>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</si>
  <si>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</si>
  <si>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</si>
  <si>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</si>
  <si>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</si>
  <si>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</si>
  <si>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</si>
  <si>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</si>
  <si>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</si>
  <si>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</si>
  <si>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</si>
  <si>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</si>
  <si>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</si>
  <si>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</si>
  <si>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</si>
  <si>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</si>
  <si>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</si>
  <si>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</si>
  <si>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</si>
  <si>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</si>
  <si>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</si>
  <si>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</si>
  <si>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</si>
  <si>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</si>
  <si>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</si>
  <si>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</si>
  <si>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</si>
  <si>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</si>
  <si>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</si>
  <si>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</si>
  <si>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</si>
  <si>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</si>
  <si>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</si>
  <si>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</si>
  <si>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</si>
  <si>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</si>
  <si>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</si>
  <si>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</si>
  <si>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</si>
  <si>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</si>
  <si>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</si>
  <si>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</si>
  <si>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</si>
  <si>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</si>
  <si>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</si>
  <si>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</si>
  <si>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</si>
  <si>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</si>
  <si>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</si>
  <si>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</si>
  <si>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</si>
  <si>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</si>
  <si>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</si>
  <si>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</si>
  <si>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</si>
  <si>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</si>
  <si>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</si>
  <si>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</si>
  <si>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</si>
  <si>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</si>
  <si>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</si>
  <si>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</si>
  <si>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</si>
  <si>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</si>
  <si>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</si>
  <si>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</si>
  <si>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</si>
  <si>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</si>
  <si>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</si>
  <si>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</si>
  <si>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</si>
  <si>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</si>
  <si>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</si>
  <si>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</si>
  <si>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</si>
  <si>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</si>
  <si>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</si>
  <si>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</si>
  <si>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</si>
  <si>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</si>
  <si>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</si>
  <si>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</si>
  <si>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</si>
  <si>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</si>
  <si>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</si>
  <si>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</si>
  <si>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</si>
  <si>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</si>
  <si>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</si>
  <si>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</si>
  <si>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</si>
  <si>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</si>
  <si>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</si>
  <si>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</si>
  <si>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</si>
  <si>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</si>
  <si>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</si>
  <si>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</si>
  <si>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</si>
  <si>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</si>
  <si>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</si>
  <si>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</si>
  <si>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</si>
  <si>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</si>
  <si>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</si>
  <si>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</si>
  <si>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</si>
  <si>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</si>
  <si>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</si>
  <si>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</si>
  <si>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</si>
  <si>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</si>
  <si>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</si>
  <si>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</si>
  <si>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</si>
  <si>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</si>
  <si>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</si>
  <si>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</si>
  <si>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</si>
  <si>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</si>
  <si>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</si>
  <si>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</si>
  <si>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</si>
  <si>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</si>
  <si>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</si>
  <si>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</si>
  <si>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</si>
  <si>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</si>
  <si>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</si>
  <si>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</si>
  <si>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</si>
  <si>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</si>
  <si>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</si>
  <si>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</si>
  <si>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</si>
  <si>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</si>
  <si>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</si>
  <si>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</si>
  <si>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</si>
  <si>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</si>
  <si>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</si>
  <si>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</si>
  <si>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</si>
  <si>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</si>
  <si>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</si>
  <si>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</si>
  <si>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</si>
  <si>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</si>
  <si>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</si>
  <si>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</si>
  <si>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</si>
  <si>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</si>
  <si>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</si>
  <si>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</si>
  <si>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</si>
  <si>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</si>
  <si>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</si>
  <si>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</si>
  <si>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</si>
  <si>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</si>
  <si>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</si>
  <si>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</si>
  <si>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</si>
  <si>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</si>
  <si>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</si>
  <si>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</si>
  <si>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</si>
  <si>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</si>
  <si>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</si>
  <si>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</si>
  <si>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</si>
  <si>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</si>
  <si>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</si>
  <si>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</si>
  <si>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</si>
  <si>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</si>
  <si>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</si>
  <si>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</si>
  <si>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</si>
  <si>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</si>
  <si>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</si>
  <si>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</si>
  <si>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</si>
  <si>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</si>
  <si>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</si>
  <si>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</si>
  <si>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</si>
  <si>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</si>
  <si>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</si>
  <si>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</si>
  <si>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</si>
  <si>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</si>
  <si>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</si>
  <si>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</si>
  <si>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</si>
  <si>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</si>
  <si>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</si>
  <si>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</si>
  <si>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</si>
  <si>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</si>
  <si>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</si>
  <si>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</si>
  <si>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</si>
  <si>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</si>
  <si>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</si>
  <si>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</si>
  <si>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</si>
  <si>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</si>
  <si>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</si>
  <si>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</si>
  <si>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</si>
  <si>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</si>
  <si>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</si>
  <si>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</si>
  <si>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</si>
  <si>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</si>
  <si>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</si>
  <si>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</si>
  <si>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</si>
  <si>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</si>
  <si>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</si>
  <si>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</si>
  <si>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</si>
  <si>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</si>
  <si>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</si>
  <si>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</si>
  <si>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</si>
  <si>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</si>
  <si>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</si>
  <si>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</si>
  <si>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</si>
  <si>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</si>
  <si>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</si>
  <si>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</si>
  <si>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</si>
  <si>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</si>
  <si>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</si>
  <si>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</si>
  <si>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</si>
  <si>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</si>
  <si>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</si>
  <si>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</si>
  <si>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</si>
  <si>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</si>
  <si>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</si>
  <si>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</si>
  <si>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</si>
  <si>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</si>
  <si>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</si>
  <si>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</si>
  <si>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</si>
  <si>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</si>
  <si>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</si>
  <si>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</si>
  <si>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</si>
  <si>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</si>
  <si>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</si>
  <si>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</si>
  <si>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</si>
  <si>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</si>
  <si>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</si>
  <si>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</si>
  <si>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</si>
  <si>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</si>
  <si>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</si>
  <si>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</si>
  <si>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</si>
  <si>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</si>
  <si>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</si>
  <si>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</si>
  <si>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</si>
  <si>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</si>
  <si>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</si>
  <si>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</si>
  <si>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</si>
  <si>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</si>
  <si>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</si>
  <si>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</si>
  <si>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</si>
  <si>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</si>
  <si>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</si>
  <si>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</si>
  <si>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</si>
  <si>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</si>
  <si>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</si>
  <si>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</si>
  <si>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</si>
  <si>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</si>
  <si>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</si>
  <si>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</si>
  <si>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</si>
  <si>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</si>
  <si>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</si>
  <si>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</si>
  <si>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</si>
  <si>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</si>
  <si>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</si>
  <si>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</si>
  <si>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</si>
  <si>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</si>
  <si>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</si>
  <si>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</si>
  <si>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</si>
  <si>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</si>
  <si>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</si>
  <si>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</si>
  <si>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</si>
  <si>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</si>
  <si>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</si>
  <si>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</si>
  <si>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</si>
  <si>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</si>
  <si>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</si>
  <si>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</si>
  <si>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</si>
  <si>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</si>
  <si>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</si>
  <si>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</si>
  <si>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</si>
  <si>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</si>
  <si>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</si>
  <si>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</si>
  <si>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</si>
  <si>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</si>
  <si>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</si>
  <si>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</si>
  <si>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</si>
  <si>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</si>
  <si>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</si>
  <si>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</si>
  <si>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</si>
  <si>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</si>
  <si>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</si>
  <si>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</si>
  <si>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</si>
  <si>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</si>
  <si>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</si>
  <si>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</si>
  <si>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</si>
  <si>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</si>
  <si>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</si>
  <si>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</si>
  <si>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</si>
  <si>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</si>
  <si>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</si>
  <si>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</si>
  <si>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</si>
  <si>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</si>
  <si>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</si>
  <si>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</si>
  <si>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</si>
  <si>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</si>
  <si>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</si>
  <si>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</si>
  <si>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</si>
  <si>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</si>
  <si>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</si>
  <si>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</si>
  <si>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</si>
  <si>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</si>
  <si>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</si>
  <si>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</si>
  <si>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</si>
  <si>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</si>
  <si>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</si>
  <si>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</si>
  <si>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</si>
  <si>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</si>
  <si>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</si>
  <si>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</si>
  <si>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</si>
  <si>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</si>
  <si>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</si>
  <si>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</si>
  <si>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</si>
  <si>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</si>
  <si>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</si>
  <si>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</si>
  <si>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</si>
  <si>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</si>
  <si>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</si>
  <si>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</si>
  <si>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</si>
  <si>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</si>
  <si>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</si>
  <si>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</si>
  <si>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</si>
  <si>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</si>
  <si>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</si>
  <si>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</si>
  <si>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</si>
  <si>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</si>
  <si>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</si>
  <si>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</si>
  <si>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</si>
  <si>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</si>
  <si>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</si>
  <si>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</si>
  <si>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</si>
  <si>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</si>
  <si>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</si>
  <si>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</si>
  <si>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</si>
  <si>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</si>
  <si>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</si>
  <si>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</si>
  <si>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</si>
  <si>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</si>
  <si>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</si>
  <si>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</si>
  <si>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</si>
  <si>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</si>
  <si>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</si>
  <si>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</si>
  <si>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</si>
  <si>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</si>
  <si>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</si>
  <si>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</si>
  <si>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</si>
  <si>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</si>
  <si>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</si>
  <si>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</si>
  <si>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</si>
  <si>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</si>
  <si>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</si>
  <si>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</si>
  <si>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</si>
  <si>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</si>
  <si>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</si>
  <si>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</si>
  <si>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</si>
  <si>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</si>
  <si>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</si>
  <si>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</si>
  <si>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</si>
  <si>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</si>
  <si>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</si>
  <si>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</si>
  <si>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</si>
  <si>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</si>
  <si>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</si>
  <si>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</si>
  <si>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</si>
  <si>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</si>
  <si>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</si>
  <si>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</si>
  <si>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</si>
  <si>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</si>
  <si>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</si>
  <si>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</si>
  <si>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</si>
  <si>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</si>
  <si>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</si>
  <si>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</si>
  <si>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</si>
  <si>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</si>
  <si>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</si>
  <si>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</si>
  <si>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</si>
  <si>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</si>
  <si>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</si>
  <si>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</si>
  <si>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</si>
  <si>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</si>
  <si>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</si>
  <si>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</si>
  <si>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</si>
  <si>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</si>
  <si>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</si>
  <si>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</si>
  <si>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</si>
  <si>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</si>
  <si>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</si>
  <si>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</si>
  <si>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</si>
  <si>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</si>
  <si>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</si>
  <si>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</si>
  <si>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</si>
  <si>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</si>
  <si>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</si>
  <si>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</si>
  <si>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</si>
  <si>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</si>
  <si>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</si>
  <si>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</si>
  <si>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</si>
  <si>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</si>
  <si>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</si>
  <si>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</si>
  <si>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</si>
  <si>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</si>
  <si>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</si>
  <si>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</si>
  <si>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</si>
  <si>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</si>
  <si>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</si>
  <si>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</si>
  <si>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</si>
  <si>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</si>
  <si>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</si>
  <si>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</si>
  <si>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</si>
  <si>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</si>
  <si>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</si>
  <si>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</si>
  <si>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</si>
  <si>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</si>
  <si>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</si>
  <si>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</si>
  <si>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</si>
  <si>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</si>
  <si>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</si>
  <si>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</si>
  <si>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</si>
  <si>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</si>
  <si>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</si>
  <si>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</si>
  <si>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</si>
  <si>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</si>
  <si>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</si>
  <si>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</si>
  <si>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</si>
  <si>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</si>
  <si>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</si>
  <si>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</si>
  <si>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</si>
  <si>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</si>
  <si>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</si>
  <si>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</si>
  <si>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</si>
  <si>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</si>
  <si>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</si>
  <si>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</si>
  <si>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</si>
  <si>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</si>
  <si>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</si>
  <si>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</si>
  <si>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</si>
  <si>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</si>
  <si>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</si>
  <si>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</si>
  <si>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</si>
  <si>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</si>
  <si>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</si>
  <si>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</si>
  <si>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</si>
  <si>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</si>
  <si>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</si>
  <si>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</si>
  <si>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</si>
  <si>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</si>
  <si>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</si>
  <si>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</si>
  <si>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</si>
  <si>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</si>
  <si>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</si>
  <si>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</si>
  <si>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</si>
  <si>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</si>
  <si>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</si>
  <si>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</si>
  <si>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</si>
  <si>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</si>
  <si>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</si>
  <si>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</si>
  <si>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</si>
  <si>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</si>
  <si>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</si>
  <si>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</si>
  <si>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</si>
  <si>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</si>
  <si>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</si>
  <si>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</si>
  <si>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</si>
  <si>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</si>
  <si>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</si>
  <si>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</si>
  <si>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</si>
  <si>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</si>
  <si>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</si>
  <si>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</si>
  <si>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</si>
  <si>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</si>
  <si>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</si>
  <si>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</si>
  <si>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</si>
  <si>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</si>
  <si>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</si>
  <si>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</si>
  <si>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</si>
  <si>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</si>
  <si>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</si>
  <si>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</si>
  <si>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</si>
  <si>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</si>
  <si>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</si>
  <si>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</si>
  <si>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</si>
  <si>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</si>
  <si>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</si>
  <si>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</si>
  <si>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</si>
  <si>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</si>
  <si>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</si>
  <si>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</si>
  <si>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</si>
  <si>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</si>
  <si>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</si>
  <si>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</si>
  <si>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</si>
  <si>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</si>
  <si>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</si>
  <si>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</si>
  <si>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</si>
  <si>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</si>
  <si>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</si>
  <si>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</si>
  <si>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</si>
  <si>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</si>
  <si>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</si>
  <si>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</si>
  <si>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</si>
  <si>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</si>
  <si>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</si>
  <si>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</si>
  <si>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</si>
  <si>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</si>
  <si>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</si>
  <si>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</si>
  <si>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</si>
  <si>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</si>
  <si>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</si>
  <si>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</si>
  <si>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</si>
  <si>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</si>
  <si>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</si>
  <si>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</si>
  <si>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</si>
  <si>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</si>
  <si>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</si>
  <si>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</si>
  <si>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</si>
  <si>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</si>
  <si>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</si>
  <si>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</si>
  <si>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</si>
  <si>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</si>
  <si>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</si>
  <si>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</si>
  <si>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</si>
  <si>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</si>
  <si>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</si>
  <si>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</si>
  <si>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</si>
  <si>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</si>
  <si>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</si>
  <si>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</si>
  <si>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</si>
  <si>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</si>
  <si>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</si>
  <si>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</si>
  <si>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</si>
  <si>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</si>
  <si>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</si>
  <si>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</si>
  <si>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</si>
  <si>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</si>
  <si>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</si>
  <si>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</si>
  <si>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</si>
  <si>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</si>
  <si>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</si>
  <si>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</si>
  <si>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</si>
  <si>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</si>
  <si>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</si>
  <si>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</si>
  <si>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</si>
  <si>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</si>
  <si>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</si>
  <si>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</si>
  <si>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</si>
  <si>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</si>
  <si>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</si>
  <si>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</si>
  <si>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</si>
  <si>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</si>
  <si>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</si>
  <si>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</si>
  <si>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</si>
  <si>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</si>
  <si>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</si>
  <si>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</si>
  <si>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</si>
  <si>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</si>
  <si>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</si>
  <si>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</si>
  <si>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</si>
  <si>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</si>
  <si>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</si>
  <si>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</si>
  <si>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</si>
  <si>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</si>
  <si>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</si>
  <si>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</si>
  <si>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</si>
  <si>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</si>
  <si>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</si>
  <si>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</si>
  <si>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</si>
  <si>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</si>
  <si>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</si>
  <si>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</si>
  <si>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</si>
  <si>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</si>
  <si>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</si>
  <si>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</si>
  <si>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</si>
  <si>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</si>
  <si>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</si>
  <si>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</si>
  <si>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</si>
  <si>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</si>
  <si>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</si>
  <si>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</si>
  <si>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</si>
  <si>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</si>
  <si>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</si>
  <si>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</si>
  <si>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</si>
  <si>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</si>
  <si>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</si>
  <si>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</si>
  <si>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</si>
  <si>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</si>
  <si>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</si>
  <si>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</si>
  <si>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</si>
  <si>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</si>
  <si>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</si>
  <si>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</si>
  <si>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</si>
  <si>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</si>
  <si>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</si>
  <si>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</si>
  <si>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</si>
  <si>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</si>
  <si>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</si>
  <si>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</si>
  <si>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</si>
  <si>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</si>
  <si>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</si>
  <si>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</si>
  <si>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</si>
  <si>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</si>
  <si>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</si>
  <si>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</si>
  <si>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</si>
  <si>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</si>
  <si>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</si>
  <si>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</si>
  <si>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</si>
  <si>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</si>
  <si>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</si>
  <si>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</si>
  <si>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</si>
  <si>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</si>
  <si>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</si>
  <si>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</si>
  <si>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</si>
  <si>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</si>
  <si>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</si>
  <si>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</si>
  <si>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</si>
  <si>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</si>
  <si>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</si>
  <si>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</si>
  <si>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</si>
  <si>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</si>
  <si>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</si>
  <si>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</si>
  <si>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</si>
  <si>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</si>
  <si>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</si>
  <si>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</si>
  <si>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</si>
  <si>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</si>
  <si>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</si>
  <si>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</si>
  <si>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</si>
  <si>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</si>
  <si>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</si>
  <si>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</si>
  <si>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</si>
  <si>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</si>
  <si>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</si>
  <si>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</si>
  <si>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</si>
  <si>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</si>
  <si>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</si>
  <si>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</si>
  <si>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</si>
  <si>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</si>
  <si>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</si>
  <si>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</si>
  <si>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</si>
  <si>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</si>
  <si>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</si>
  <si>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</si>
  <si>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</si>
  <si>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</si>
  <si>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</si>
  <si>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</si>
  <si>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</si>
  <si>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</si>
  <si>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</si>
  <si>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</si>
  <si>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</si>
  <si>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</si>
  <si>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</si>
  <si>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</si>
  <si>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</si>
  <si>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</si>
  <si>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</si>
  <si>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</si>
  <si>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</si>
  <si>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</si>
  <si>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</si>
  <si>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</si>
  <si>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</si>
  <si>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</si>
  <si>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</si>
  <si>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</si>
  <si>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</si>
  <si>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</si>
  <si>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</si>
  <si>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</si>
  <si>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</si>
  <si>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</si>
  <si>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</si>
  <si>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</si>
  <si>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</si>
  <si>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</si>
  <si>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</si>
  <si>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</si>
  <si>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</si>
  <si>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</si>
  <si>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</si>
  <si>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</si>
  <si>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</si>
  <si>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</si>
  <si>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</si>
  <si>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</si>
  <si>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</si>
  <si>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</si>
  <si>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</si>
  <si>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</si>
  <si>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</si>
  <si>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</si>
  <si>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</si>
  <si>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</si>
  <si>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</si>
  <si>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</si>
  <si>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</si>
  <si>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</si>
  <si>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</si>
  <si>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</si>
  <si>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</si>
  <si>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</si>
  <si>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</si>
  <si>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</si>
  <si>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</si>
  <si>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</si>
  <si>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</si>
  <si>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</si>
  <si>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</si>
  <si>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</si>
  <si>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</si>
  <si>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</si>
  <si>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</si>
  <si>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</si>
  <si>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</si>
  <si>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</si>
  <si>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</si>
  <si>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</si>
  <si>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</si>
  <si>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</si>
  <si>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</si>
  <si>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</si>
  <si>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</si>
  <si>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</si>
  <si>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</si>
  <si>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</si>
  <si>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</si>
  <si>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</si>
  <si>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</si>
  <si>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</si>
  <si>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</si>
  <si>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</si>
  <si>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</si>
  <si>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</si>
  <si>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</si>
  <si>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</si>
  <si>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</si>
  <si>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</si>
  <si>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</si>
  <si>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</si>
  <si>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</si>
  <si>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</si>
  <si>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</si>
  <si>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</si>
  <si>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</si>
  <si>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</si>
  <si>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</si>
  <si>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</si>
  <si>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</si>
  <si>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</si>
  <si>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</si>
  <si>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</si>
  <si>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</si>
  <si>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</si>
  <si>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</si>
  <si>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</si>
  <si>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</si>
  <si>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</si>
  <si>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</si>
  <si>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</si>
  <si>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</si>
  <si>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</si>
  <si>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</si>
  <si>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</si>
  <si>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</si>
  <si>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</si>
  <si>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</si>
  <si>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</si>
  <si>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</si>
  <si>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</si>
  <si>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</si>
  <si>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</si>
  <si>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</si>
  <si>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</si>
  <si>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</si>
  <si>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</si>
  <si>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</si>
  <si>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</si>
  <si>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</si>
  <si>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</si>
  <si>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</si>
  <si>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</si>
  <si>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</si>
  <si>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</si>
  <si>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</si>
  <si>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</si>
  <si>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</si>
  <si>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</si>
  <si>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</si>
  <si>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</si>
  <si>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</si>
  <si>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</si>
  <si>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</si>
  <si>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</si>
  <si>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</si>
  <si>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</si>
  <si>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</si>
  <si>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</si>
  <si>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</si>
  <si>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</si>
  <si>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</si>
  <si>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</si>
  <si>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</si>
  <si>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</si>
  <si>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</si>
  <si>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</si>
  <si>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</si>
  <si>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</si>
  <si>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</si>
  <si>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</si>
  <si>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</si>
  <si>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</si>
  <si>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</si>
  <si>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</si>
  <si>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</si>
  <si>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</si>
  <si>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</si>
  <si>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</si>
  <si>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</si>
  <si>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</si>
  <si>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</si>
  <si>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</si>
  <si>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</si>
  <si>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</si>
  <si>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</si>
  <si>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</si>
  <si>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</si>
  <si>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</si>
  <si>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</si>
  <si>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</si>
  <si>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</si>
  <si>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</si>
  <si>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</si>
  <si>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</si>
  <si>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</si>
  <si>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</si>
  <si>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</si>
  <si>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</si>
  <si>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</si>
  <si>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</si>
  <si>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</si>
  <si>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</si>
  <si>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</si>
  <si>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</si>
  <si>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</si>
  <si>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</si>
  <si>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</si>
  <si>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</si>
  <si>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</si>
  <si>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</si>
  <si>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</si>
  <si>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</si>
  <si>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</si>
  <si>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</si>
  <si>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</si>
  <si>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</si>
  <si>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</si>
  <si>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</si>
  <si>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</si>
  <si>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</si>
  <si>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</si>
  <si>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</si>
  <si>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</si>
  <si>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</si>
  <si>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</si>
  <si>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</si>
  <si>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</si>
  <si>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</si>
  <si>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</si>
  <si>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</si>
  <si>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</si>
  <si>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</si>
  <si>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</si>
  <si>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</si>
  <si>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</si>
  <si>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</si>
  <si>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</si>
  <si>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</si>
  <si>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</si>
  <si>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</si>
  <si>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</si>
  <si>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</si>
  <si>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</si>
  <si>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</si>
  <si>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</si>
  <si>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</si>
  <si>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</si>
  <si>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</si>
  <si>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</si>
  <si>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</si>
  <si>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</si>
  <si>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</si>
  <si>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</si>
  <si>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</si>
  <si>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</si>
  <si>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</si>
  <si>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</si>
  <si>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</si>
  <si>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</si>
  <si>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</si>
  <si>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</si>
  <si>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</si>
  <si>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</si>
  <si>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</si>
  <si>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</si>
  <si>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</si>
  <si>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</si>
  <si>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</si>
  <si>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</si>
  <si>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</si>
  <si>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</si>
  <si>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</si>
  <si>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</si>
  <si>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</si>
  <si>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</si>
  <si>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</si>
  <si>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</si>
  <si>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</si>
  <si>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</si>
  <si>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</si>
  <si>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</si>
  <si>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</si>
  <si>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</si>
  <si>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</si>
  <si>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</si>
  <si>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</si>
  <si>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</si>
  <si>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</si>
  <si>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</si>
  <si>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</si>
  <si>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</si>
  <si>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</si>
  <si>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</si>
  <si>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</si>
  <si>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</si>
  <si>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</si>
  <si>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</si>
  <si>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</si>
  <si>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</si>
  <si>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</si>
  <si>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</si>
  <si>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</si>
  <si>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</si>
  <si>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</si>
  <si>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</si>
  <si>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</si>
  <si>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</si>
  <si>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</si>
  <si>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</si>
  <si>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</si>
  <si>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</si>
  <si>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</si>
  <si>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</si>
  <si>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</si>
  <si>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</si>
  <si>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</si>
  <si>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</si>
  <si>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</si>
  <si>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</si>
  <si>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</si>
  <si>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</si>
  <si>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</si>
  <si>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</si>
  <si>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</si>
  <si>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</si>
  <si>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</si>
  <si>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</si>
  <si>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</si>
  <si>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</si>
  <si>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</si>
  <si>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</si>
  <si>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</si>
  <si>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</si>
  <si>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</si>
  <si>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</si>
  <si>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</si>
  <si>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</si>
  <si>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</si>
  <si>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</si>
  <si>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</si>
  <si>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</si>
  <si>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</si>
  <si>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</si>
  <si>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</si>
  <si>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</si>
  <si>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</si>
  <si>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</si>
  <si>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</si>
  <si>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</si>
  <si>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</si>
  <si>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</si>
  <si>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</si>
  <si>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</si>
  <si>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</si>
  <si>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</si>
  <si>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</si>
  <si>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</si>
  <si>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</si>
  <si>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</si>
  <si>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</si>
  <si>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</si>
  <si>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</si>
  <si>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</si>
  <si>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</si>
  <si>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</si>
  <si>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</si>
  <si>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</si>
  <si>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</si>
  <si>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</si>
  <si>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</si>
  <si>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</si>
  <si>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</si>
  <si>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</si>
  <si>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</si>
  <si>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</si>
  <si>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</si>
  <si>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</si>
  <si>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</si>
  <si>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</si>
  <si>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</si>
  <si>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</si>
  <si>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</si>
  <si>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</si>
  <si>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</si>
  <si>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</si>
  <si>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</si>
  <si>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</si>
  <si>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</si>
  <si>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</si>
  <si>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</si>
  <si>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</si>
  <si>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</si>
  <si>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</si>
  <si>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</si>
  <si>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</si>
  <si>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</si>
  <si>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</si>
  <si>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</si>
  <si>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</si>
  <si>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</si>
  <si>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</si>
  <si>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</si>
  <si>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</si>
  <si>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</si>
  <si>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</si>
  <si>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</si>
  <si>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</si>
  <si>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</si>
  <si>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</si>
  <si>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</si>
  <si>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</si>
  <si>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</si>
  <si>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</si>
  <si>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</si>
  <si>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</si>
  <si>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</si>
  <si>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</si>
  <si>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</si>
  <si>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</si>
  <si>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</si>
  <si>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</si>
  <si>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</si>
  <si>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</si>
  <si>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</si>
  <si>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</si>
  <si>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</si>
  <si>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</si>
  <si>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</si>
  <si>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</si>
  <si>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</si>
  <si>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</si>
  <si>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</si>
  <si>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</si>
  <si>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</si>
  <si>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</si>
  <si>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</si>
  <si>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</si>
  <si>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</si>
  <si>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</si>
  <si>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</si>
  <si>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</si>
  <si>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</si>
  <si>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</si>
  <si>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</si>
  <si>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</si>
  <si>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</si>
  <si>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</si>
  <si>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</si>
  <si>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</si>
  <si>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</si>
  <si>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</si>
  <si>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</si>
  <si>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</si>
  <si>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</si>
  <si>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</si>
  <si>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</si>
  <si>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</si>
  <si>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</si>
  <si>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</si>
  <si>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</si>
  <si>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</si>
  <si>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</si>
  <si>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</si>
  <si>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</si>
  <si>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</si>
  <si>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</si>
  <si>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</si>
  <si>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</si>
  <si>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</si>
  <si>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</si>
  <si>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</si>
  <si>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</si>
  <si>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</si>
  <si>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</si>
  <si>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</si>
  <si>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</si>
  <si>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</si>
  <si>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</si>
  <si>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</si>
  <si>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</si>
  <si>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</si>
  <si>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</si>
  <si>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</si>
  <si>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</si>
  <si>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</si>
  <si>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</si>
  <si>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</si>
  <si>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</si>
  <si>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</si>
  <si>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</si>
  <si>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</si>
  <si>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</si>
  <si>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</si>
  <si>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</si>
  <si>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</si>
  <si>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</si>
  <si>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</si>
  <si>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</si>
  <si>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</si>
  <si>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</si>
  <si>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</si>
  <si>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</si>
  <si>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</si>
  <si>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</si>
  <si>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</si>
  <si>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</si>
  <si>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</si>
  <si>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</si>
  <si>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</si>
  <si>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</si>
  <si>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</si>
  <si>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</si>
  <si>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</si>
  <si>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</si>
  <si>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</si>
  <si>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</si>
  <si>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</si>
  <si>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</si>
  <si>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</si>
  <si>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</si>
  <si>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</si>
  <si>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</si>
  <si>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</si>
  <si>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</si>
  <si>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</si>
  <si>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</si>
  <si>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</si>
  <si>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</si>
  <si>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</si>
  <si>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</si>
  <si>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</si>
  <si>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</si>
  <si>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</si>
  <si>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</si>
  <si>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</si>
  <si>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</si>
  <si>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</si>
  <si>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</si>
  <si>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</si>
  <si>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</si>
  <si>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</si>
  <si>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</si>
  <si>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</si>
  <si>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</si>
  <si>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</si>
  <si>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</si>
  <si>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</si>
  <si>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</si>
  <si>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</si>
  <si>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</si>
  <si>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</si>
  <si>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</si>
  <si>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</si>
  <si>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</si>
  <si>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</si>
  <si>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</si>
  <si>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</si>
  <si>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</si>
  <si>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</si>
  <si>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</si>
  <si>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</si>
  <si>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</si>
  <si>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</si>
  <si>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</si>
  <si>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</si>
  <si>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</si>
  <si>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</si>
  <si>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</si>
  <si>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</si>
  <si>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</si>
  <si>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</si>
  <si>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</si>
  <si>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</si>
  <si>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</si>
  <si>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</si>
  <si>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</si>
  <si>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</si>
  <si>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</si>
  <si>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</si>
  <si>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</si>
  <si>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</si>
  <si>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</si>
  <si>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</si>
  <si>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</si>
  <si>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</si>
  <si>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</si>
  <si>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</si>
  <si>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</si>
  <si>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</si>
  <si>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</si>
  <si>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</si>
  <si>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</si>
  <si>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</si>
  <si>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</si>
  <si>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</si>
  <si>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</si>
  <si>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</si>
  <si>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</si>
  <si>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</si>
  <si>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</si>
  <si>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</si>
  <si>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</si>
  <si>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</si>
  <si>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</si>
  <si>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</si>
  <si>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</si>
  <si>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</si>
  <si>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</si>
  <si>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</si>
  <si>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</si>
  <si>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</si>
  <si>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</si>
  <si>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</si>
  <si>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</si>
  <si>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</si>
  <si>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</si>
  <si>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</si>
  <si>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</si>
  <si>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</si>
  <si>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</si>
  <si>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</si>
  <si>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</si>
  <si>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</si>
  <si>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</si>
  <si>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</si>
  <si>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</si>
  <si>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</si>
  <si>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</si>
  <si>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</si>
  <si>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</si>
  <si>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</si>
  <si>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</si>
  <si>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</si>
  <si>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</si>
  <si>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</si>
  <si>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</si>
  <si>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</si>
  <si>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</si>
  <si>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</si>
  <si>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</si>
  <si>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</si>
  <si>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</si>
  <si>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</si>
  <si>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</si>
  <si>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</si>
  <si>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</si>
  <si>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</si>
  <si>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</si>
  <si>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</si>
  <si>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</si>
  <si>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</si>
  <si>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</si>
  <si>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</si>
  <si>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</si>
  <si>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</si>
  <si>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</si>
  <si>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</si>
  <si>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</si>
  <si>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</si>
  <si>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</si>
  <si>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</si>
  <si>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</si>
  <si>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</si>
  <si>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</si>
  <si>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</si>
  <si>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</si>
  <si>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</si>
  <si>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</si>
  <si>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</si>
  <si>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</si>
  <si>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</si>
  <si>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</si>
  <si>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</si>
  <si>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</si>
  <si>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</si>
  <si>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</si>
  <si>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</si>
  <si>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</si>
  <si>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</si>
  <si>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</si>
  <si>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</si>
  <si>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</si>
  <si>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</si>
  <si>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</si>
  <si>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</si>
  <si>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</si>
  <si>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</si>
  <si>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</si>
  <si>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</si>
  <si>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</si>
  <si>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</si>
  <si>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</si>
  <si>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</si>
  <si>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</si>
  <si>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</si>
  <si>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</si>
  <si>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</si>
  <si>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</si>
  <si>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</si>
  <si>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</si>
  <si>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</si>
  <si>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</si>
  <si>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</si>
  <si>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</si>
  <si>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</si>
  <si>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</si>
  <si>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</si>
  <si>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</si>
  <si>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</si>
  <si>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</si>
  <si>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</si>
  <si>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</si>
  <si>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</si>
  <si>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</si>
  <si>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</si>
  <si>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</si>
  <si>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</si>
  <si>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</si>
  <si>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</si>
  <si>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</si>
  <si>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</si>
  <si>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</si>
  <si>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</si>
  <si>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</si>
  <si>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</si>
  <si>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</si>
  <si>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</si>
  <si>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</si>
  <si>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</si>
  <si>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</si>
  <si>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</si>
  <si>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</si>
  <si>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</si>
  <si>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</si>
  <si>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</si>
  <si>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</si>
  <si>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</si>
  <si>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</si>
  <si>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</si>
  <si>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</si>
  <si>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</si>
  <si>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</si>
  <si>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</si>
  <si>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</si>
  <si>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</si>
  <si>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</si>
  <si>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</si>
  <si>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</si>
  <si>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</si>
  <si>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</si>
  <si>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</si>
  <si>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</si>
  <si>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</si>
  <si>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</si>
  <si>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</si>
  <si>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</si>
  <si>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</si>
  <si>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</si>
  <si>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</si>
  <si>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</si>
  <si>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</si>
  <si>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</si>
  <si>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</si>
  <si>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</si>
  <si>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</si>
  <si>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</si>
  <si>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</si>
  <si>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</si>
  <si>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</si>
  <si>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</si>
  <si>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</si>
  <si>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</si>
  <si>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</si>
  <si>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</si>
  <si>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</si>
  <si>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</si>
  <si>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</si>
  <si>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</si>
  <si>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</si>
  <si>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</si>
  <si>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</si>
  <si>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</si>
  <si>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</si>
  <si>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</si>
  <si>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</si>
  <si>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</si>
  <si>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</si>
  <si>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</si>
  <si>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</si>
  <si>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</si>
  <si>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</si>
  <si>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</si>
  <si>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</si>
  <si>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</si>
  <si>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</si>
  <si>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</si>
  <si>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</si>
  <si>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</si>
  <si>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</si>
  <si>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</si>
  <si>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</si>
  <si>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</si>
  <si>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</si>
  <si>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</si>
  <si>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</si>
  <si>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</si>
  <si>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</si>
  <si>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</si>
  <si>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</si>
  <si>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</si>
  <si>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</si>
  <si>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</si>
  <si>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</si>
  <si>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</si>
  <si>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</si>
  <si>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</si>
  <si>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</si>
  <si>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</si>
  <si>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</si>
  <si>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</si>
  <si>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</si>
  <si>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</si>
  <si>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</si>
  <si>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</si>
  <si>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</si>
  <si>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</si>
  <si>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</si>
  <si>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</si>
  <si>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</si>
  <si>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</si>
  <si>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</si>
  <si>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</si>
  <si>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</si>
  <si>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</si>
  <si>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</si>
  <si>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</si>
  <si>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</si>
  <si>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</si>
  <si>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</si>
  <si>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</si>
  <si>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</si>
  <si>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</si>
  <si>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</si>
  <si>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</si>
  <si>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</si>
  <si>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</si>
  <si>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</si>
  <si>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</si>
  <si>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</si>
  <si>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</si>
  <si>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</si>
  <si>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</si>
  <si>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</si>
  <si>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</si>
  <si>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</si>
  <si>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</si>
  <si>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</si>
  <si>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</si>
  <si>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</si>
  <si>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</si>
  <si>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</si>
  <si>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</si>
  <si>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</si>
  <si>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</si>
  <si>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</si>
  <si>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</si>
  <si>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</si>
  <si>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</si>
  <si>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</si>
  <si>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</si>
  <si>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</si>
  <si>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</si>
  <si>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</si>
  <si>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</si>
  <si>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</si>
  <si>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</si>
  <si>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</si>
  <si>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</si>
  <si>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</si>
  <si>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</si>
  <si>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</si>
  <si>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</si>
  <si>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</si>
  <si>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</si>
  <si>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</si>
  <si>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</si>
  <si>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</si>
  <si>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</si>
  <si>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</si>
  <si>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</si>
  <si>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</si>
  <si>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</si>
  <si>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</si>
  <si>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</si>
  <si>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</si>
  <si>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</si>
  <si>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</si>
  <si>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</si>
  <si>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</si>
  <si>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</si>
  <si>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</si>
  <si>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</si>
  <si>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</si>
  <si>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</si>
  <si>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</si>
  <si>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</si>
  <si>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</si>
  <si>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</si>
  <si>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</si>
  <si>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</si>
  <si>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</si>
  <si>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</si>
  <si>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</si>
  <si>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</si>
  <si>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</si>
  <si>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</si>
  <si>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</si>
  <si>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</si>
  <si>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</si>
  <si>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</si>
  <si>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</si>
  <si>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</si>
  <si>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</si>
  <si>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</si>
  <si>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</si>
  <si>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</si>
  <si>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</si>
  <si>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</si>
  <si>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</si>
  <si>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</si>
  <si>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</si>
  <si>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</si>
  <si>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</si>
  <si>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</si>
  <si>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</si>
  <si>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</si>
  <si>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</si>
  <si>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</si>
  <si>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</si>
  <si>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</si>
  <si>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</si>
  <si>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</si>
  <si>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</si>
  <si>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</si>
  <si>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</si>
  <si>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</si>
  <si>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</si>
  <si>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</si>
  <si>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</si>
  <si>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</si>
  <si>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</si>
  <si>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</si>
  <si>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</si>
  <si>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</si>
  <si>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</si>
  <si>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</si>
  <si>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</si>
  <si>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</si>
  <si>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</si>
  <si>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</si>
  <si>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</si>
  <si>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</si>
  <si>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</si>
  <si>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</si>
  <si>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</si>
  <si>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</si>
  <si>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</si>
  <si>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</si>
  <si>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</si>
  <si>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</si>
  <si>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</si>
  <si>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</si>
  <si>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</si>
  <si>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</si>
  <si>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</si>
  <si>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</si>
  <si>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</si>
  <si>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</si>
  <si>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</si>
  <si>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</si>
  <si>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</si>
  <si>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</si>
  <si>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</si>
  <si>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</si>
  <si>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</si>
  <si>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</si>
  <si>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</si>
  <si>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</si>
  <si>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</si>
  <si>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</si>
  <si>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</si>
  <si>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</si>
  <si>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</si>
  <si>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</si>
  <si>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</si>
  <si>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</si>
  <si>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</si>
  <si>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</si>
  <si>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</si>
  <si>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</si>
  <si>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</si>
  <si>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</si>
  <si>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</si>
  <si>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</si>
  <si>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</si>
  <si>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</si>
  <si>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</si>
  <si>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</si>
  <si>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</si>
  <si>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</si>
  <si>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</si>
  <si>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</si>
  <si>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</si>
  <si>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</si>
  <si>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</si>
  <si>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</si>
  <si>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</si>
  <si>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</si>
  <si>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</si>
  <si>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</si>
  <si>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</si>
  <si>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</si>
  <si>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</si>
  <si>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</si>
  <si>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</si>
  <si>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</si>
  <si>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</si>
  <si>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</si>
  <si>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</si>
  <si>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</si>
  <si>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</si>
  <si>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</si>
  <si>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</si>
  <si>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</si>
  <si>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</si>
  <si>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</si>
  <si>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</si>
  <si>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</si>
  <si>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</si>
  <si>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</si>
  <si>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</si>
  <si>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</si>
  <si>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</si>
  <si>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</si>
  <si>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</si>
  <si>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</si>
  <si>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</si>
  <si>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</si>
  <si>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</si>
  <si>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</si>
  <si>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</si>
  <si>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</si>
  <si>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</si>
  <si>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</si>
  <si>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</si>
  <si>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</si>
  <si>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</si>
  <si>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</si>
  <si>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</si>
  <si>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</si>
  <si>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</si>
  <si>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</si>
  <si>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</si>
  <si>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</si>
  <si>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</si>
  <si>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</si>
  <si>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</si>
  <si>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</si>
  <si>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</si>
  <si>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</si>
  <si>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</si>
  <si>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</si>
  <si>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</si>
  <si>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</si>
  <si>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</si>
  <si>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</si>
  <si>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</si>
  <si>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</si>
  <si>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</si>
  <si>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</si>
  <si>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</si>
  <si>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</si>
  <si>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</si>
  <si>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</si>
  <si>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</si>
  <si>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</si>
  <si>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</si>
  <si>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</si>
  <si>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</si>
  <si>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</si>
  <si>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</si>
  <si>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</si>
  <si>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</si>
  <si>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</si>
  <si>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</si>
  <si>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</si>
  <si>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</si>
  <si>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</si>
  <si>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</si>
  <si>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</si>
  <si>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</si>
  <si>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</si>
  <si>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</si>
  <si>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</si>
  <si>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</si>
  <si>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</si>
  <si>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</si>
  <si>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</si>
  <si>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</si>
  <si>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</si>
  <si>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</si>
  <si>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</si>
  <si>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</si>
  <si>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</si>
  <si>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</si>
  <si>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</si>
  <si>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</si>
  <si>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</si>
  <si>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</si>
  <si>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</si>
  <si>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</si>
  <si>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</si>
  <si>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</si>
  <si>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</si>
  <si>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</si>
  <si>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</si>
  <si>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</si>
  <si>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</si>
  <si>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</si>
  <si>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</si>
  <si>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</si>
  <si>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</si>
  <si>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</si>
  <si>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</si>
  <si>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</si>
  <si>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</si>
  <si>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</si>
  <si>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</si>
  <si>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</si>
  <si>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</si>
  <si>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</si>
  <si>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</si>
  <si>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</si>
  <si>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</si>
  <si>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</si>
  <si>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</si>
  <si>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</si>
  <si>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</si>
  <si>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</si>
  <si>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</si>
  <si>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</si>
  <si>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</si>
  <si>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</si>
  <si>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</si>
  <si>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</si>
  <si>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</si>
  <si>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</si>
  <si>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</si>
  <si>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</si>
  <si>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</si>
  <si>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</si>
  <si>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</si>
  <si>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</si>
  <si>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</si>
  <si>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</si>
  <si>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</si>
  <si>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</si>
  <si>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</si>
  <si>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</si>
  <si>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</si>
  <si>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</si>
  <si>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</si>
  <si>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</si>
  <si>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</si>
  <si>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</si>
  <si>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</si>
  <si>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</si>
  <si>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</si>
  <si>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</si>
  <si>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</si>
  <si>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</si>
  <si>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</si>
  <si>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</si>
  <si>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</si>
  <si>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</si>
  <si>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</si>
  <si>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</si>
  <si>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</si>
  <si>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</si>
  <si>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</si>
  <si>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</si>
  <si>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</si>
  <si>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</si>
  <si>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</si>
  <si>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</si>
  <si>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</si>
  <si>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</si>
  <si>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</si>
  <si>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</si>
  <si>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</si>
  <si>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</si>
  <si>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</si>
  <si>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</si>
  <si>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</si>
  <si>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</si>
  <si>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</si>
  <si>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</si>
  <si>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</si>
  <si>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</si>
  <si>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</si>
  <si>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</si>
  <si>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</si>
  <si>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</si>
  <si>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</si>
  <si>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</si>
  <si>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</si>
  <si>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</si>
  <si>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</si>
  <si>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</si>
  <si>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</si>
  <si>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</si>
  <si>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</si>
  <si>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</si>
  <si>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</si>
  <si>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</si>
  <si>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</si>
  <si>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</si>
  <si>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</si>
  <si>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</si>
  <si>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</si>
  <si>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</si>
  <si>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</si>
  <si>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</si>
  <si>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</si>
  <si>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</si>
  <si>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</si>
  <si>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</si>
  <si>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</si>
  <si>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</si>
  <si>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</si>
  <si>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</si>
  <si>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</si>
  <si>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</si>
  <si>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</si>
  <si>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</si>
  <si>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</si>
  <si>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</si>
  <si>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</si>
  <si>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</si>
  <si>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</si>
  <si>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</si>
  <si>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</si>
  <si>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</si>
  <si>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</si>
  <si>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</si>
  <si>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</si>
  <si>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</si>
  <si>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</si>
  <si>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</si>
  <si>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</si>
  <si>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</si>
  <si>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</si>
  <si>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</si>
  <si>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</si>
  <si>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</si>
  <si>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</si>
  <si>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</si>
  <si>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</si>
  <si>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</si>
  <si>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</si>
  <si>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</si>
  <si>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</si>
  <si>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</si>
  <si>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</si>
  <si>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</si>
  <si>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</si>
  <si>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</si>
  <si>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</si>
  <si>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</si>
  <si>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</si>
  <si>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</si>
  <si>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</si>
  <si>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</si>
  <si>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</si>
  <si>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</si>
  <si>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</si>
  <si>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</si>
  <si>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</si>
  <si>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</si>
  <si>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</si>
  <si>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</si>
  <si>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</si>
  <si>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</si>
  <si>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</si>
  <si>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</si>
  <si>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</si>
  <si>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</si>
  <si>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</si>
  <si>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</si>
  <si>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</si>
  <si>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</si>
  <si>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</si>
  <si>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</si>
  <si>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</si>
  <si>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</si>
  <si>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</si>
  <si>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</si>
  <si>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</si>
  <si>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</si>
  <si>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</si>
  <si>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</si>
  <si>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</si>
  <si>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</si>
  <si>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</si>
  <si>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</si>
  <si>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</si>
  <si>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</si>
  <si>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</si>
  <si>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</si>
  <si>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</si>
  <si>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</si>
  <si>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</si>
  <si>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</si>
  <si>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</si>
  <si>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</si>
  <si>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</si>
  <si>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</si>
  <si>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</si>
  <si>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</si>
  <si>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</si>
  <si>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</si>
  <si>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</si>
  <si>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</si>
  <si>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</si>
  <si>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</si>
  <si>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</si>
  <si>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</si>
  <si>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</si>
  <si>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</si>
  <si>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</si>
  <si>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</si>
  <si>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</si>
  <si>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</si>
  <si>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</si>
  <si>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</si>
  <si>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</si>
  <si>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</si>
  <si>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</si>
  <si>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</si>
  <si>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</si>
  <si>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</si>
  <si>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</si>
  <si>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</si>
  <si>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</si>
  <si>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</si>
  <si>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</si>
  <si>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</si>
  <si>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</si>
  <si>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</si>
  <si>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</si>
  <si>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</si>
  <si>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</si>
  <si>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</si>
  <si>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</si>
  <si>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</si>
  <si>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</si>
  <si>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</si>
  <si>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</si>
  <si>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</si>
  <si>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</si>
  <si>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</si>
  <si>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</si>
  <si>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</si>
  <si>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</si>
  <si>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</si>
  <si>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</si>
  <si>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</si>
  <si>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</si>
  <si>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</si>
  <si>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</si>
  <si>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</si>
  <si>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</si>
  <si>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</si>
  <si>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</si>
  <si>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</si>
  <si>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</si>
  <si>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</si>
  <si>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</si>
  <si>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</si>
  <si>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</si>
  <si>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</si>
  <si>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</si>
  <si>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</si>
  <si>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</si>
  <si>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</si>
  <si>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</si>
  <si>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</si>
  <si>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</si>
  <si>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</si>
  <si>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</si>
  <si>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</si>
  <si>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</si>
  <si>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</si>
  <si>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</si>
  <si>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</si>
  <si>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</si>
  <si>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</si>
  <si>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</si>
  <si>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</si>
  <si>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</si>
  <si>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</si>
  <si>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</si>
  <si>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</si>
  <si>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</si>
  <si>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</si>
  <si>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</si>
  <si>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</si>
  <si>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</si>
  <si>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</si>
  <si>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</si>
  <si>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</si>
  <si>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</si>
  <si>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</si>
  <si>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</si>
  <si>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</si>
  <si>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</si>
  <si>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</si>
  <si>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</si>
  <si>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</si>
  <si>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</si>
  <si>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</si>
  <si>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</si>
  <si>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</si>
  <si>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</si>
  <si>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</si>
  <si>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</si>
  <si>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</si>
  <si>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</si>
  <si>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</si>
  <si>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</si>
  <si>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</si>
  <si>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</si>
  <si>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</si>
  <si>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</si>
  <si>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</si>
  <si>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</si>
  <si>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</si>
  <si>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</si>
  <si>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</si>
  <si>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</si>
  <si>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</si>
  <si>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</si>
  <si>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</si>
  <si>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</si>
  <si>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</si>
  <si>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</si>
  <si>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</si>
  <si>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</si>
  <si>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</si>
  <si>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</si>
  <si>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</si>
  <si>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</si>
  <si>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</si>
  <si>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</si>
  <si>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</si>
  <si>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</si>
  <si>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</si>
  <si>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</si>
  <si>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</si>
  <si>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</si>
  <si>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</si>
  <si>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</si>
  <si>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</si>
  <si>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</si>
  <si>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</si>
  <si>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</si>
  <si>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</si>
  <si>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</si>
  <si>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</si>
  <si>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</si>
  <si>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</si>
  <si>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</si>
  <si>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</si>
  <si>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</si>
  <si>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</si>
  <si>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</si>
  <si>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</si>
  <si>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</si>
  <si>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</si>
  <si>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</si>
  <si>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</si>
  <si>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</si>
  <si>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</si>
  <si>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</si>
  <si>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</si>
  <si>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</si>
  <si>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</si>
  <si>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</si>
  <si>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</si>
  <si>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</si>
  <si>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</si>
  <si>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</si>
  <si>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</si>
  <si>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</si>
  <si>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</si>
  <si>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</si>
  <si>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</si>
  <si>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</si>
  <si>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</si>
  <si>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</si>
  <si>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</si>
  <si>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</si>
  <si>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</si>
  <si>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</si>
  <si>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</si>
  <si>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</si>
  <si>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</si>
  <si>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</si>
  <si>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</si>
  <si>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</si>
  <si>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</si>
  <si>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</si>
  <si>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</si>
  <si>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</si>
  <si>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</si>
  <si>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</si>
  <si>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</si>
  <si>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</si>
  <si>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</si>
  <si>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</si>
  <si>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</si>
  <si>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</si>
  <si>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</si>
  <si>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</si>
  <si>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</si>
  <si>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</si>
  <si>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</si>
  <si>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</si>
  <si>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</si>
  <si>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</si>
  <si>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</si>
  <si>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</si>
  <si>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</si>
  <si>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</si>
  <si>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</si>
  <si>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</si>
  <si>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</si>
  <si>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</si>
  <si>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</si>
  <si>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</si>
  <si>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</si>
  <si>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</si>
  <si>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</si>
  <si>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</si>
  <si>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</si>
  <si>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</si>
  <si>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</si>
  <si>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</si>
  <si>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</si>
  <si>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</si>
  <si>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</si>
  <si>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</si>
  <si>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</si>
  <si>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</si>
  <si>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</si>
  <si>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</si>
  <si>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</si>
  <si>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</si>
  <si>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</si>
  <si>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</si>
  <si>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</si>
  <si>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</si>
  <si>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</si>
  <si>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</si>
  <si>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</si>
  <si>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</si>
  <si>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</si>
  <si>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</si>
  <si>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</si>
  <si>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</si>
  <si>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</si>
  <si>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</si>
  <si>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</si>
  <si>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</si>
  <si>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</si>
  <si>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</si>
  <si>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</si>
  <si>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</si>
  <si>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</si>
  <si>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</si>
  <si>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</si>
  <si>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</si>
  <si>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</si>
  <si>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</si>
  <si>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</si>
  <si>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</si>
  <si>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</si>
  <si>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</si>
  <si>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</si>
  <si>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</si>
  <si>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</si>
  <si>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</si>
  <si>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</si>
  <si>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</si>
  <si>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</si>
  <si>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</si>
  <si>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</si>
  <si>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</si>
  <si>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</si>
  <si>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</si>
  <si>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</si>
  <si>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</si>
  <si>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</si>
  <si>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</si>
  <si>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</si>
  <si>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</si>
  <si>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</si>
  <si>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</si>
  <si>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</si>
  <si>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</si>
  <si>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</si>
  <si>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</si>
  <si>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</si>
  <si>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</si>
  <si>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</si>
  <si>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</si>
  <si>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</si>
  <si>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</si>
  <si>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</si>
  <si>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</si>
  <si>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</si>
  <si>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</si>
  <si>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</si>
  <si>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</si>
  <si>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</si>
  <si>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</si>
  <si>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</si>
  <si>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</si>
  <si>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</si>
  <si>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</si>
  <si>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</si>
  <si>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</si>
  <si>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</si>
  <si>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</si>
  <si>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</si>
  <si>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</si>
  <si>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</si>
  <si>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</si>
  <si>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</si>
  <si>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</si>
  <si>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</si>
  <si>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</si>
  <si>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</si>
  <si>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</si>
  <si>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</si>
  <si>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</si>
  <si>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</si>
  <si>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</si>
  <si>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</si>
  <si>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</si>
  <si>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</si>
  <si>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</si>
  <si>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</si>
  <si>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</si>
  <si>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</si>
  <si>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</si>
  <si>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</si>
  <si>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</si>
  <si>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</si>
  <si>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</si>
  <si>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</si>
  <si>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</si>
  <si>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</si>
  <si>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</si>
  <si>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</si>
  <si>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</si>
  <si>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</si>
  <si>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</si>
  <si>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</si>
  <si>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</si>
  <si>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</si>
  <si>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</si>
  <si>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</si>
  <si>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</si>
  <si>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</si>
  <si>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</si>
  <si>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</si>
  <si>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</si>
  <si>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</si>
  <si>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</si>
  <si>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</si>
  <si>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</si>
  <si>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</si>
  <si>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</si>
  <si>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</si>
  <si>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</si>
  <si>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</si>
  <si>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</si>
  <si>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</si>
  <si>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</si>
  <si>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</si>
  <si>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</si>
  <si>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</si>
  <si>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</si>
  <si>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</si>
  <si>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</si>
  <si>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</si>
  <si>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</si>
  <si>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</si>
  <si>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</si>
  <si>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</si>
  <si>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</si>
  <si>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</si>
  <si>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</si>
  <si>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</si>
  <si>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</si>
  <si>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</si>
  <si>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</si>
  <si>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</si>
  <si>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</si>
  <si>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</si>
  <si>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</si>
  <si>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</si>
  <si>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</si>
  <si>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</si>
  <si>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</si>
  <si>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</si>
  <si>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</si>
  <si>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</si>
  <si>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</si>
  <si>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</si>
  <si>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</si>
  <si>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</si>
  <si>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</si>
  <si>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</si>
  <si>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</si>
  <si>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</si>
  <si>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</si>
  <si>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</si>
  <si>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</si>
  <si>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</si>
  <si>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</si>
  <si>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</si>
  <si>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</si>
  <si>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</si>
  <si>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</si>
  <si>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</si>
  <si>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</si>
  <si>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</si>
  <si>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</si>
  <si>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</si>
  <si>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</si>
  <si>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</si>
  <si>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</si>
  <si>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</si>
  <si>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</si>
  <si>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</si>
  <si>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</si>
  <si>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</si>
  <si>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</si>
  <si>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</si>
  <si>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</si>
  <si>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</si>
  <si>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</si>
  <si>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</si>
  <si>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</si>
  <si>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</si>
  <si>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</si>
  <si>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</si>
  <si>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</si>
  <si>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</si>
  <si>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</si>
  <si>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</si>
  <si>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</si>
  <si>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</si>
  <si>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</si>
  <si>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</si>
  <si>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</si>
  <si>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</si>
  <si>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</si>
  <si>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</si>
  <si>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</si>
  <si>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</si>
  <si>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</si>
  <si>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</si>
  <si>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</si>
  <si>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</si>
  <si>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</si>
  <si>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</si>
  <si>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</si>
  <si>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</si>
  <si>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</si>
  <si>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</si>
  <si>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</si>
  <si>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</si>
  <si>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</si>
  <si>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</si>
  <si>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</si>
  <si>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</si>
  <si>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</si>
  <si>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</si>
  <si>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</si>
  <si>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</si>
  <si>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</si>
  <si>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</si>
  <si>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</si>
  <si>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</si>
  <si>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</si>
  <si>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</si>
  <si>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</si>
  <si>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</si>
  <si>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</si>
  <si>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</si>
  <si>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</si>
  <si>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</si>
  <si>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</si>
  <si>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</si>
  <si>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</si>
  <si>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</si>
  <si>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</si>
  <si>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</si>
  <si>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</si>
  <si>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</si>
  <si>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</si>
  <si>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</si>
  <si>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</si>
  <si>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</si>
  <si>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</si>
  <si>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</si>
  <si>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</si>
  <si>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</si>
  <si>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</si>
  <si>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</si>
  <si>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</si>
  <si>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</si>
  <si>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</si>
  <si>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</si>
  <si>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</si>
  <si>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</si>
  <si>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</si>
  <si>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</si>
  <si>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</si>
  <si>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</si>
  <si>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</si>
  <si>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</si>
  <si>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</si>
  <si>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</si>
  <si>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</si>
  <si>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</si>
  <si>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</si>
  <si>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</si>
  <si>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</si>
  <si>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</si>
  <si>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</si>
  <si>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</si>
  <si>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</si>
  <si>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</si>
  <si>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</si>
  <si>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</si>
  <si>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</si>
  <si>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</si>
  <si>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</si>
  <si>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</si>
  <si>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</si>
  <si>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</si>
  <si>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</si>
  <si>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</si>
  <si>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</si>
  <si>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</si>
  <si>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</si>
  <si>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</si>
  <si>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</si>
  <si>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</si>
  <si>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</si>
  <si>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</si>
  <si>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</si>
  <si>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</si>
  <si>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</si>
  <si>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</si>
  <si>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</si>
  <si>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</si>
  <si>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</si>
  <si>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</si>
  <si>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</si>
  <si>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</si>
  <si>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</si>
  <si>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</si>
  <si>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</si>
  <si>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</si>
  <si>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</si>
  <si>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</si>
  <si>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</si>
  <si>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</si>
  <si>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</si>
  <si>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</si>
  <si>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</si>
  <si>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</si>
  <si>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</si>
  <si>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</si>
  <si>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</si>
  <si>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</si>
  <si>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</si>
  <si>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</si>
  <si>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</si>
  <si>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</si>
  <si>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</si>
  <si>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</si>
  <si>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</si>
  <si>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</si>
  <si>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</si>
  <si>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</si>
  <si>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</si>
  <si>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</si>
  <si>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</si>
  <si>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</si>
  <si>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</si>
  <si>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</si>
  <si>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</si>
  <si>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</si>
  <si>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</si>
  <si>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</si>
  <si>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</si>
  <si>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</si>
  <si>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</si>
  <si>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</si>
  <si>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</si>
  <si>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</si>
  <si>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</si>
  <si>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</si>
  <si>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</si>
  <si>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</si>
  <si>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</si>
  <si>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</si>
  <si>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</si>
  <si>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</si>
  <si>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</si>
  <si>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</si>
  <si>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</si>
  <si>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</si>
  <si>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</si>
  <si>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</si>
  <si>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</si>
  <si>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</si>
  <si>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</si>
  <si>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</si>
  <si>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</si>
  <si>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</si>
  <si>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</si>
  <si>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</si>
  <si>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</si>
  <si>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</si>
  <si>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</si>
  <si>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</si>
  <si>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</si>
  <si>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</si>
  <si>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</si>
  <si>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</si>
  <si>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</si>
  <si>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</si>
  <si>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</si>
  <si>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</si>
  <si>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</si>
  <si>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</si>
  <si>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</si>
  <si>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</si>
  <si>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</si>
  <si>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</si>
  <si>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</si>
  <si>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</si>
  <si>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</si>
  <si>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</si>
  <si>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</si>
  <si>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</si>
  <si>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</si>
  <si>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</si>
  <si>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</si>
  <si>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</si>
  <si>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</si>
  <si>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</si>
  <si>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</si>
  <si>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</si>
  <si>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</si>
  <si>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</si>
  <si>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</si>
  <si>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</si>
  <si>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</si>
  <si>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</si>
  <si>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</si>
  <si>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</si>
  <si>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</si>
  <si>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</si>
  <si>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</si>
  <si>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</si>
  <si>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</si>
  <si>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</si>
  <si>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</si>
  <si>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</si>
  <si>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</si>
  <si>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</si>
  <si>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</si>
  <si>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</si>
  <si>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</si>
  <si>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</si>
  <si>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</si>
  <si>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</si>
  <si>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</si>
  <si>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</si>
  <si>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</si>
  <si>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</si>
  <si>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</si>
  <si>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</si>
  <si>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</si>
  <si>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</si>
  <si>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</si>
  <si>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</si>
  <si>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</si>
  <si>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</si>
  <si>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</si>
  <si>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</si>
  <si>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</si>
  <si>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</si>
  <si>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</si>
  <si>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</si>
  <si>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</si>
  <si>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</si>
  <si>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</si>
  <si>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</si>
  <si>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</si>
  <si>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</si>
  <si>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</si>
  <si>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</si>
  <si>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</si>
  <si>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</si>
  <si>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</si>
  <si>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</si>
  <si>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</si>
  <si>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</si>
  <si>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</si>
  <si>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</si>
  <si>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</si>
  <si>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</si>
  <si>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</si>
  <si>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</si>
  <si>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</si>
  <si>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</si>
  <si>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</si>
  <si>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</si>
  <si>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</si>
  <si>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</si>
  <si>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</si>
  <si>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</si>
  <si>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</si>
  <si>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</si>
  <si>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</si>
  <si>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</si>
  <si>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</si>
  <si>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</si>
  <si>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</si>
  <si>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</si>
  <si>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</si>
  <si>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</si>
  <si>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</si>
  <si>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</si>
  <si>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</si>
  <si>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</si>
  <si>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</si>
  <si>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</si>
  <si>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</si>
  <si>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</si>
  <si>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</si>
  <si>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</si>
  <si>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</si>
  <si>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</si>
  <si>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</si>
  <si>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</si>
  <si>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</si>
  <si>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</si>
  <si>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</si>
  <si>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</si>
  <si>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</si>
  <si>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</si>
  <si>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</si>
  <si>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</si>
  <si>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</si>
  <si>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</si>
  <si>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</si>
  <si>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</si>
  <si>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</si>
  <si>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</si>
  <si>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</si>
  <si>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</si>
  <si>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</si>
  <si>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</si>
  <si>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</si>
  <si>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</si>
  <si>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</si>
  <si>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</si>
  <si>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</si>
  <si>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</si>
  <si>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</si>
  <si>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</si>
  <si>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</si>
  <si>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</si>
  <si>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</si>
  <si>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</si>
  <si>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</si>
  <si>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</si>
  <si>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</si>
  <si>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</si>
  <si>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</si>
  <si>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</si>
  <si>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</si>
  <si>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</si>
  <si>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</si>
  <si>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</si>
  <si>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</si>
  <si>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</si>
  <si>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</si>
  <si>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</si>
  <si>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</si>
  <si>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</si>
  <si>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</si>
  <si>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</si>
  <si>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</si>
  <si>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</si>
  <si>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</si>
  <si>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</si>
  <si>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</si>
  <si>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</si>
  <si>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</si>
  <si>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</si>
  <si>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</si>
  <si>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</si>
  <si>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</si>
  <si>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</si>
  <si>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</si>
  <si>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</si>
  <si>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</si>
  <si>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</si>
  <si>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</si>
  <si>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</si>
  <si>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</si>
  <si>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</si>
  <si>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</si>
  <si>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</si>
  <si>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</si>
  <si>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</si>
  <si>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</si>
  <si>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</si>
  <si>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</si>
  <si>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</si>
  <si>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</si>
  <si>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</si>
  <si>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</si>
  <si>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</si>
  <si>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</si>
  <si>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</si>
  <si>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</si>
  <si>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</si>
  <si>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</si>
  <si>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</si>
  <si>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</si>
  <si>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</si>
  <si>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</si>
  <si>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</si>
  <si>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</si>
  <si>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</si>
  <si>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</si>
  <si>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</si>
  <si>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</si>
  <si>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</si>
  <si>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</si>
  <si>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</si>
  <si>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</si>
  <si>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</si>
  <si>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</si>
  <si>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</si>
  <si>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</si>
  <si>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</si>
  <si>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</si>
  <si>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</si>
  <si>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</si>
  <si>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</si>
  <si>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</si>
  <si>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</si>
  <si>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</si>
  <si>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</si>
  <si>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</si>
  <si>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</si>
  <si>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</si>
  <si>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</si>
  <si>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</si>
  <si>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</si>
  <si>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</si>
  <si>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</si>
  <si>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</si>
  <si>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</si>
  <si>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</si>
  <si>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</si>
  <si>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</si>
  <si>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</si>
  <si>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</si>
  <si>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</si>
  <si>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</si>
  <si>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</si>
  <si>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</si>
  <si>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</si>
  <si>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</si>
  <si>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</si>
  <si>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</si>
  <si>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</si>
  <si>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</si>
  <si>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</si>
  <si>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</si>
  <si>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</si>
  <si>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</si>
  <si>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</si>
  <si>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</si>
  <si>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</si>
  <si>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</si>
  <si>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</si>
  <si>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</si>
  <si>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</si>
  <si>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</si>
  <si>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</si>
  <si>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</si>
  <si>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</si>
  <si>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</si>
  <si>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</si>
  <si>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</si>
  <si>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</si>
  <si>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</si>
  <si>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</si>
  <si>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</si>
  <si>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</si>
  <si>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</si>
  <si>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</si>
  <si>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</si>
  <si>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</si>
  <si>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</si>
  <si>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</si>
  <si>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</si>
  <si>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</si>
  <si>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</si>
  <si>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</si>
  <si>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</si>
  <si>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</si>
  <si>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</si>
  <si>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</si>
  <si>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</si>
  <si>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</si>
  <si>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</si>
  <si>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</si>
  <si>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</si>
  <si>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</si>
  <si>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</si>
  <si>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</si>
  <si>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</si>
  <si>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</si>
  <si>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</si>
  <si>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</si>
  <si>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</si>
  <si>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</si>
  <si>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</si>
  <si>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</si>
  <si>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</si>
  <si>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</si>
  <si>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</si>
  <si>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</si>
  <si>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</si>
  <si>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</si>
  <si>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</si>
  <si>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</si>
  <si>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</si>
  <si>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</si>
  <si>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</si>
  <si>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</si>
  <si>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</si>
  <si>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</si>
  <si>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</si>
  <si>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</si>
  <si>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</si>
  <si>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</si>
  <si>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</si>
  <si>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</si>
  <si>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</si>
  <si>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</si>
  <si>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</si>
  <si>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</si>
  <si>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</si>
  <si>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</si>
  <si>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</si>
  <si>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</si>
  <si>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</si>
  <si>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</si>
  <si>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</si>
  <si>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</si>
  <si>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</si>
  <si>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</si>
  <si>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</si>
  <si>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</si>
  <si>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</si>
  <si>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</si>
  <si>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</si>
  <si>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</si>
  <si>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</si>
  <si>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</si>
  <si>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</si>
  <si>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</si>
  <si>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</si>
  <si>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</si>
  <si>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</si>
  <si>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</si>
  <si>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</si>
  <si>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</si>
  <si>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</si>
  <si>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</si>
  <si>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</si>
  <si>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</si>
  <si>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</si>
  <si>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</si>
  <si>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</si>
  <si>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</si>
  <si>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</si>
  <si>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</si>
  <si>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</si>
  <si>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</si>
  <si>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</si>
  <si>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</si>
  <si>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</si>
  <si>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</si>
  <si>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</si>
  <si>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</si>
  <si>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</si>
  <si>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</si>
  <si>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</si>
  <si>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</si>
  <si>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</si>
  <si>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</si>
  <si>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</si>
  <si>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</si>
  <si>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</si>
  <si>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</si>
  <si>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</si>
  <si>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</si>
  <si>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</si>
  <si>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</si>
  <si>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</si>
  <si>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</si>
  <si>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</si>
  <si>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</si>
  <si>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</si>
  <si>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</si>
  <si>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</si>
  <si>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</si>
  <si>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</si>
  <si>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</si>
  <si>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</si>
  <si>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</si>
  <si>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</si>
  <si>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</si>
  <si>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</si>
  <si>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</si>
  <si>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</si>
  <si>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</si>
  <si>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</si>
  <si>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</si>
  <si>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</si>
  <si>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</si>
  <si>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</si>
  <si>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</si>
  <si>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</si>
  <si>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</si>
  <si>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</si>
  <si>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</si>
  <si>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</si>
  <si>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</si>
  <si>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</si>
  <si>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</si>
  <si>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</si>
  <si>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</si>
  <si>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</si>
  <si>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</si>
  <si>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</si>
  <si>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</si>
  <si>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</si>
  <si>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</si>
  <si>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</si>
  <si>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</si>
  <si>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</si>
  <si>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</si>
  <si>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</si>
  <si>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</si>
  <si>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</si>
  <si>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</si>
  <si>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</si>
  <si>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</si>
  <si>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</si>
  <si>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</si>
  <si>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</si>
  <si>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</si>
  <si>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</si>
  <si>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</si>
  <si>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</si>
  <si>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</si>
  <si>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</si>
  <si>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</si>
  <si>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</si>
  <si>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</si>
  <si>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</si>
  <si>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</si>
  <si>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</si>
  <si>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</si>
  <si>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</si>
  <si>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</si>
  <si>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</si>
  <si>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</si>
  <si>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</si>
  <si>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</si>
  <si>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</si>
  <si>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</si>
  <si>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</si>
  <si>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</si>
  <si>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</si>
  <si>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</si>
  <si>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</si>
  <si>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</si>
  <si>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</si>
  <si>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</si>
  <si>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</si>
  <si>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</si>
  <si>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</si>
  <si>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</si>
  <si>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</si>
  <si>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</si>
  <si>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</si>
  <si>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</si>
  <si>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</si>
  <si>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</si>
  <si>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</si>
  <si>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</si>
  <si>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</si>
  <si>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</si>
  <si>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</si>
  <si>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</si>
  <si>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</si>
  <si>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</si>
  <si>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</si>
  <si>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</si>
  <si>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</si>
  <si>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</si>
  <si>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</si>
  <si>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</si>
  <si>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</si>
  <si>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</si>
  <si>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</si>
  <si>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</si>
  <si>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</si>
  <si>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</si>
  <si>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</si>
  <si>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</si>
  <si>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</si>
  <si>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</si>
  <si>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</si>
  <si>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</si>
  <si>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</si>
  <si>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</si>
  <si>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</si>
  <si>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</si>
  <si>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</si>
  <si>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</si>
  <si>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</si>
  <si>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</si>
  <si>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</si>
  <si>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</si>
  <si>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</si>
  <si>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</si>
  <si>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</si>
  <si>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</si>
  <si>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</si>
  <si>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</si>
  <si>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</si>
  <si>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</si>
  <si>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</si>
  <si>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</si>
  <si>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</si>
  <si>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</si>
  <si>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</si>
  <si>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</si>
  <si>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</si>
  <si>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</si>
  <si>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</si>
  <si>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</si>
  <si>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</si>
  <si>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</si>
  <si>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</si>
  <si>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</si>
  <si>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</si>
  <si>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</si>
  <si>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</si>
  <si>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</si>
  <si>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</si>
  <si>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</si>
  <si>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</si>
  <si>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</si>
  <si>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</si>
  <si>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</si>
  <si>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</si>
  <si>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</si>
  <si>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</si>
  <si>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</si>
  <si>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</si>
  <si>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</si>
  <si>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</si>
  <si>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</si>
  <si>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</si>
  <si>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</si>
  <si>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</si>
  <si>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</si>
  <si>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</si>
  <si>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</si>
  <si>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</si>
  <si>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</si>
  <si>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</si>
  <si>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</si>
  <si>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</si>
  <si>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</si>
  <si>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</si>
  <si>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</si>
  <si>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</si>
  <si>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</si>
  <si>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</si>
  <si>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</si>
  <si>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</si>
  <si>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</si>
  <si>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</si>
  <si>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</si>
  <si>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</si>
  <si>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</si>
  <si>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</si>
  <si>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</si>
  <si>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</si>
  <si>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</si>
  <si>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</si>
  <si>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</si>
  <si>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</si>
  <si>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</si>
  <si>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</si>
  <si>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</si>
  <si>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</si>
  <si>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</si>
  <si>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</si>
  <si>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</si>
  <si>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</si>
  <si>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</si>
  <si>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</si>
  <si>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</si>
  <si>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</si>
  <si>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</si>
  <si>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</si>
  <si>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</si>
  <si>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</si>
  <si>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</si>
  <si>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</si>
  <si>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</si>
  <si>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</si>
  <si>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</si>
  <si>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</si>
  <si>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</si>
  <si>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</si>
  <si>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</si>
  <si>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</si>
  <si>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</si>
  <si>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</si>
  <si>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</si>
  <si>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</si>
  <si>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</si>
  <si>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</si>
  <si>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</si>
  <si>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</si>
  <si>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</si>
  <si>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</si>
  <si>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</si>
  <si>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</si>
  <si>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</si>
  <si>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</si>
  <si>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</si>
  <si>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</si>
  <si>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</si>
  <si>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</si>
  <si>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</si>
  <si>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</si>
  <si>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</si>
  <si>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</si>
  <si>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</si>
  <si>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</si>
  <si>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</si>
  <si>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</si>
  <si>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</si>
  <si>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</si>
  <si>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</si>
  <si>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</si>
  <si>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</si>
  <si>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</si>
  <si>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</si>
  <si>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</si>
  <si>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</si>
  <si>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</si>
  <si>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</si>
  <si>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</si>
  <si>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</si>
  <si>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</si>
  <si>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</si>
  <si>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</si>
  <si>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</si>
  <si>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</si>
  <si>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</si>
  <si>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</si>
  <si>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</si>
  <si>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</si>
  <si>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</si>
  <si>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</si>
  <si>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</si>
  <si>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</si>
  <si>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</si>
  <si>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</si>
  <si>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</si>
  <si>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</si>
  <si>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</si>
  <si>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</si>
  <si>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</si>
  <si>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</si>
  <si>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</si>
  <si>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</si>
  <si>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</si>
  <si>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</si>
  <si>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</si>
  <si>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</si>
  <si>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</si>
  <si>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</si>
  <si>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</si>
  <si>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</si>
  <si>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</si>
  <si>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</si>
  <si>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</si>
  <si>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</si>
  <si>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</si>
  <si>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</si>
  <si>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</si>
  <si>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</si>
  <si>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</si>
  <si>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</si>
  <si>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</si>
  <si>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</si>
  <si>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</si>
  <si>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</si>
  <si>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</si>
  <si>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</si>
  <si>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</si>
  <si>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</si>
  <si>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</si>
  <si>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</si>
  <si>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</si>
  <si>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</si>
  <si>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</si>
  <si>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</si>
  <si>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</si>
  <si>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</si>
  <si>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</si>
  <si>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</si>
  <si>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</si>
  <si>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</si>
  <si>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</si>
  <si>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</si>
  <si>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</si>
  <si>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</si>
  <si>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</si>
  <si>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</si>
  <si>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</si>
  <si>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</si>
  <si>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</si>
  <si>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</si>
  <si>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</si>
  <si>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</si>
  <si>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</si>
  <si>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</si>
  <si>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</si>
  <si>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</si>
  <si>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</si>
  <si>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</si>
  <si>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</si>
  <si>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</si>
  <si>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</si>
  <si>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</si>
  <si>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</si>
  <si>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</si>
  <si>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</si>
  <si>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</si>
  <si>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</si>
  <si>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</si>
  <si>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</si>
  <si>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</si>
  <si>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</si>
  <si>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</si>
  <si>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</si>
  <si>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</si>
  <si>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</si>
  <si>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</si>
  <si>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</si>
  <si>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</si>
  <si>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</si>
  <si>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</si>
  <si>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</si>
  <si>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</si>
  <si>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</si>
  <si>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</si>
  <si>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</si>
  <si>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</si>
  <si>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</si>
  <si>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</si>
  <si>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</si>
  <si>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</si>
  <si>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</si>
  <si>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</si>
  <si>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</si>
  <si>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</si>
  <si>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</si>
  <si>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</si>
  <si>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</si>
  <si>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</si>
  <si>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</si>
  <si>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</si>
  <si>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</si>
  <si>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</si>
  <si>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</si>
  <si>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</si>
  <si>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</si>
  <si>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</si>
  <si>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</si>
  <si>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</si>
  <si>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</si>
  <si>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</si>
  <si>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</si>
  <si>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</si>
  <si>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</si>
  <si>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</si>
  <si>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</si>
  <si>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</si>
  <si>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</si>
  <si>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</si>
  <si>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</si>
  <si>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</si>
  <si>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</si>
  <si>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</si>
  <si>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</si>
  <si>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</si>
  <si>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</si>
  <si>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</si>
  <si>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</si>
  <si>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</si>
  <si>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</si>
  <si>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</si>
  <si>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</si>
  <si>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</si>
  <si>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</si>
  <si>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</si>
  <si>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</si>
  <si>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</si>
  <si>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</si>
  <si>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</si>
  <si>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</si>
  <si>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</si>
  <si>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</si>
  <si>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</si>
  <si>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</si>
  <si>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</si>
  <si>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</si>
  <si>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</si>
  <si>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</si>
  <si>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</si>
  <si>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</si>
  <si>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</si>
  <si>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</si>
  <si>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</si>
  <si>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</si>
  <si>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</si>
  <si>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</si>
  <si>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</si>
  <si>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</si>
  <si>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</si>
  <si>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</si>
  <si>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</si>
  <si>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</si>
  <si>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</si>
  <si>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</si>
  <si>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</si>
  <si>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</si>
  <si>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</si>
  <si>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</si>
  <si>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</si>
  <si>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</si>
  <si>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</si>
  <si>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</si>
  <si>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</si>
  <si>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</si>
  <si>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</si>
  <si>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</si>
  <si>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</si>
  <si>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</si>
  <si>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</si>
  <si>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</si>
  <si>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</si>
  <si>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</si>
  <si>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</si>
  <si>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</si>
  <si>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</si>
  <si>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</si>
  <si>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</si>
  <si>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</si>
  <si>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</si>
  <si>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</si>
  <si>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</si>
  <si>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</si>
  <si>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</si>
  <si>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</si>
  <si>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</si>
  <si>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</si>
  <si>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</si>
  <si>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</si>
  <si>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</si>
  <si>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</si>
  <si>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</si>
  <si>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</si>
  <si>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</si>
  <si>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</si>
  <si>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</si>
  <si>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</si>
  <si>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</si>
  <si>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</si>
  <si>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</si>
  <si>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</si>
  <si>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</si>
  <si>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</si>
  <si>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</si>
  <si>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</si>
  <si>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</si>
  <si>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</si>
  <si>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</si>
  <si>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</si>
  <si>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</si>
  <si>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</si>
  <si>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</si>
  <si>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</si>
  <si>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</si>
  <si>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</si>
  <si>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</si>
  <si>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</si>
  <si>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</si>
  <si>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</si>
  <si>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</si>
  <si>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</si>
  <si>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</si>
  <si>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</si>
  <si>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</si>
  <si>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</si>
  <si>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</si>
  <si>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</si>
  <si>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</si>
  <si>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</si>
  <si>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</si>
  <si>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</si>
  <si>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</si>
  <si>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</si>
  <si>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</si>
  <si>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</si>
  <si>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</si>
  <si>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</si>
  <si>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</si>
  <si>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</si>
  <si>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</si>
  <si>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</si>
  <si>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</si>
  <si>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</si>
  <si>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</si>
  <si>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</si>
  <si>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</si>
  <si>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</si>
  <si>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</si>
  <si>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</si>
  <si>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</si>
  <si>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</si>
  <si>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</si>
  <si>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</si>
  <si>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</si>
  <si>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</si>
  <si>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</si>
  <si>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</si>
  <si>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</si>
  <si>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</si>
  <si>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</si>
  <si>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</si>
  <si>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</si>
  <si>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</si>
  <si>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</si>
  <si>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</si>
  <si>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</si>
  <si>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</si>
  <si>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</si>
  <si>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</si>
  <si>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</si>
  <si>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</si>
  <si>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</si>
  <si>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</si>
  <si>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</si>
  <si>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</si>
  <si>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</si>
  <si>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</si>
  <si>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</si>
  <si>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</si>
  <si>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</si>
  <si>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</si>
  <si>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</si>
  <si>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</si>
  <si>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</si>
  <si>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</si>
  <si>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</si>
  <si>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</si>
  <si>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</si>
  <si>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</si>
  <si>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</si>
  <si>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</si>
  <si>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</si>
  <si>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</si>
  <si>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</si>
  <si>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</si>
  <si>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</si>
  <si>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</si>
  <si>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</si>
  <si>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</si>
  <si>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</si>
  <si>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</si>
  <si>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</si>
  <si>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</si>
  <si>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</si>
  <si>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</si>
  <si>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</si>
  <si>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</si>
  <si>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</si>
  <si>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</si>
  <si>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</si>
  <si>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</si>
  <si>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</si>
  <si>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</si>
  <si>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</si>
  <si>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</si>
  <si>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</si>
  <si>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</si>
  <si>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</si>
  <si>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</si>
  <si>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</si>
  <si>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</si>
  <si>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</si>
  <si>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</si>
  <si>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</si>
  <si>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</si>
  <si>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</si>
  <si>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</si>
  <si>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</si>
  <si>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</si>
  <si>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</si>
  <si>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</si>
  <si>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</si>
  <si>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</si>
  <si>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</si>
  <si>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</si>
  <si>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</si>
  <si>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</si>
  <si>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</si>
  <si>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</si>
  <si>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</si>
  <si>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</si>
  <si>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</si>
  <si>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</si>
  <si>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</si>
  <si>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</si>
  <si>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</si>
  <si>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</si>
  <si>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</si>
  <si>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</si>
  <si>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</si>
  <si>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</si>
  <si>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</si>
  <si>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</si>
  <si>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</si>
  <si>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</si>
  <si>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</si>
  <si>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</si>
  <si>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</si>
  <si>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</si>
  <si>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</si>
  <si>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</si>
  <si>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</si>
  <si>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</si>
  <si>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</si>
  <si>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</si>
  <si>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</si>
  <si>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</si>
  <si>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</si>
  <si>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</si>
  <si>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</si>
  <si>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</si>
  <si>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</si>
  <si>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</si>
  <si>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</si>
  <si>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</si>
  <si>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</si>
  <si>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</si>
  <si>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</si>
  <si>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</si>
  <si>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</si>
  <si>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</si>
  <si>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</si>
  <si>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</si>
  <si>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</si>
  <si>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</si>
  <si>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</si>
  <si>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</si>
  <si>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</si>
  <si>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</si>
  <si>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</si>
  <si>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</si>
  <si>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</si>
  <si>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</si>
  <si>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</si>
  <si>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</si>
  <si>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</si>
  <si>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</si>
  <si>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</si>
  <si>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</si>
  <si>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</si>
  <si>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</si>
  <si>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</si>
  <si>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</si>
  <si>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</si>
  <si>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</si>
  <si>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</si>
  <si>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</si>
  <si>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</si>
  <si>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</si>
  <si>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</si>
  <si>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</si>
  <si>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</si>
  <si>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</si>
  <si>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</si>
  <si>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</si>
  <si>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</si>
  <si>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</si>
  <si>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</si>
  <si>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</si>
  <si>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</si>
  <si>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</si>
  <si>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</si>
  <si>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</si>
  <si>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</si>
  <si>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</si>
  <si>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</si>
  <si>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</si>
  <si>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</si>
  <si>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</si>
  <si>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</si>
  <si>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</si>
  <si>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</si>
  <si>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</si>
  <si>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</si>
  <si>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</si>
  <si>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</si>
  <si>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</si>
  <si>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</si>
  <si>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</si>
  <si>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</si>
  <si>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</si>
  <si>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</si>
  <si>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</si>
  <si>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</si>
  <si>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</si>
  <si>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</si>
  <si>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</si>
  <si>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</si>
  <si>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</si>
  <si>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</si>
  <si>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</si>
  <si>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</si>
  <si>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</si>
  <si>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</si>
  <si>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</si>
  <si>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</si>
  <si>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</si>
  <si>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</si>
  <si>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</si>
  <si>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</si>
  <si>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</si>
  <si>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</si>
  <si>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</si>
  <si>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</si>
  <si>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</si>
  <si>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</si>
  <si>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</si>
  <si>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</si>
  <si>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</si>
  <si>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</si>
  <si>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</si>
  <si>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</si>
  <si>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</si>
  <si>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</si>
  <si>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</si>
  <si>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</si>
  <si>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</si>
  <si>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</si>
  <si>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</si>
  <si>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</si>
  <si>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</si>
  <si>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</si>
  <si>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</si>
  <si>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</si>
  <si>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</si>
  <si>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</si>
  <si>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</si>
  <si>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</si>
  <si>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</si>
  <si>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</si>
  <si>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</si>
  <si>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</si>
  <si>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</si>
  <si>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</si>
  <si>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</si>
  <si>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</si>
  <si>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</si>
  <si>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</si>
  <si>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</si>
  <si>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</si>
  <si>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</si>
  <si>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</si>
  <si>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</si>
  <si>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</si>
  <si>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</si>
  <si>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</si>
  <si>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</si>
  <si>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</si>
  <si>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</si>
  <si>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</si>
  <si>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</si>
  <si>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</si>
  <si>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</si>
  <si>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</si>
  <si>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</si>
  <si>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</si>
  <si>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</si>
  <si>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</si>
  <si>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</si>
  <si>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</si>
  <si>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</si>
  <si>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</si>
  <si>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</si>
  <si>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</si>
  <si>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</si>
  <si>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</si>
  <si>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</si>
  <si>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</si>
  <si>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</si>
  <si>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</si>
  <si>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</si>
  <si>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</si>
  <si>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</si>
  <si>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</si>
  <si>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</si>
  <si>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</si>
  <si>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</si>
  <si>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</si>
  <si>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</si>
  <si>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</si>
  <si>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</si>
  <si>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</si>
  <si>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</si>
  <si>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</si>
  <si>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</si>
  <si>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</si>
  <si>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</si>
  <si>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</si>
  <si>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</si>
  <si>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</si>
  <si>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</si>
  <si>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</si>
  <si>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</si>
  <si>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</si>
  <si>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</si>
  <si>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</si>
  <si>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</si>
  <si>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</si>
  <si>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</si>
  <si>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</si>
  <si>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</si>
  <si>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</si>
  <si>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</si>
  <si>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</si>
  <si>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</si>
  <si>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</si>
  <si>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</si>
  <si>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</si>
  <si>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</si>
  <si>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</si>
  <si>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</si>
  <si>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</si>
  <si>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</si>
  <si>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</si>
  <si>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</si>
  <si>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</si>
  <si>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</si>
  <si>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</si>
  <si>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</si>
  <si>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</si>
  <si>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</si>
  <si>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</si>
  <si>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</si>
  <si>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</si>
  <si>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</si>
  <si>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</si>
  <si>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</si>
  <si>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</si>
  <si>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</si>
  <si>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</si>
  <si>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</si>
  <si>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</si>
  <si>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</si>
  <si>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</si>
  <si>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</si>
  <si>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</si>
  <si>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</si>
  <si>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</si>
  <si>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</si>
  <si>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</si>
  <si>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</si>
  <si>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</si>
  <si>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</si>
  <si>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</si>
  <si>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</si>
  <si>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</si>
  <si>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</si>
  <si>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</si>
  <si>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</si>
  <si>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</si>
  <si>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</si>
  <si>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</si>
  <si>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</si>
  <si>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</si>
  <si>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</si>
  <si>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</si>
  <si>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</si>
  <si>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</si>
  <si>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</si>
  <si>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</si>
  <si>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</si>
  <si>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</si>
  <si>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</si>
  <si>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</si>
  <si>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</si>
  <si>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</si>
  <si>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</si>
  <si>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</si>
  <si>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</si>
  <si>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</si>
  <si>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</si>
  <si>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</si>
  <si>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</si>
  <si>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</si>
  <si>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</si>
  <si>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</si>
  <si>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</si>
  <si>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</si>
  <si>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</si>
  <si>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</si>
  <si>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</si>
  <si>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</si>
  <si>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</si>
  <si>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</si>
  <si>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</si>
  <si>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</si>
  <si>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</si>
  <si>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</si>
  <si>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</si>
  <si>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</si>
  <si>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</si>
  <si>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</si>
  <si>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</si>
  <si>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</si>
  <si>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</si>
  <si>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</si>
  <si>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</si>
  <si>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</si>
  <si>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</si>
  <si>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</si>
  <si>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</si>
  <si>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</si>
  <si>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</si>
  <si>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</si>
  <si>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</si>
  <si>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</si>
  <si>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</si>
  <si>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</si>
  <si>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</si>
  <si>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</si>
  <si>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</si>
  <si>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</si>
  <si>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</si>
  <si>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</si>
  <si>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</si>
  <si>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</si>
  <si>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</si>
  <si>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</si>
  <si>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</si>
  <si>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</si>
  <si>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</si>
  <si>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</si>
  <si>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</si>
  <si>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</si>
  <si>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</si>
  <si>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</si>
  <si>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</si>
  <si>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</si>
  <si>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</si>
  <si>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</si>
  <si>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</si>
  <si>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</si>
  <si>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</si>
  <si>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</si>
  <si>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</si>
  <si>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</si>
  <si>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</si>
  <si>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</si>
  <si>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</si>
  <si>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</si>
  <si>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</si>
  <si>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</si>
  <si>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</si>
  <si>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</si>
  <si>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</si>
  <si>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</si>
  <si>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</si>
  <si>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</si>
  <si>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</si>
  <si>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</si>
  <si>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</si>
  <si>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</si>
  <si>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</si>
  <si>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</si>
  <si>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</si>
  <si>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</si>
  <si>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</si>
  <si>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</si>
  <si>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</si>
  <si>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</si>
  <si>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</si>
  <si>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</si>
  <si>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</si>
  <si>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</si>
  <si>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</si>
  <si>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</si>
  <si>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</si>
  <si>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</si>
  <si>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</si>
  <si>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</si>
  <si>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</si>
  <si>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</si>
  <si>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</si>
  <si>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</si>
  <si>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</si>
  <si>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</si>
  <si>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</si>
  <si>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</si>
  <si>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</si>
  <si>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</si>
  <si>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</si>
  <si>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</si>
  <si>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</si>
  <si>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</si>
  <si>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</si>
  <si>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</si>
  <si>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</si>
  <si>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</si>
  <si>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</si>
  <si>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</si>
  <si>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</si>
  <si>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</si>
  <si>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</si>
  <si>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</si>
  <si>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</si>
  <si>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</si>
  <si>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</si>
  <si>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</si>
  <si>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</si>
  <si>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</si>
  <si>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</si>
  <si>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</si>
  <si>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</si>
  <si>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</si>
  <si>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</si>
  <si>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</si>
  <si>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</si>
  <si>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</si>
  <si>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</si>
  <si>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</si>
  <si>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</si>
  <si>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</si>
  <si>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</si>
  <si>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</si>
  <si>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</si>
  <si>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</si>
  <si>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</si>
  <si>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</si>
  <si>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</si>
  <si>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</si>
  <si>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</si>
  <si>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</si>
  <si>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</si>
  <si>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</si>
  <si>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</si>
  <si>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</si>
  <si>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</si>
  <si>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</si>
  <si>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</si>
  <si>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</si>
  <si>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</si>
  <si>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</si>
  <si>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</si>
  <si>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</si>
  <si>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</si>
  <si>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</si>
  <si>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</si>
  <si>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</si>
  <si>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</si>
  <si>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</si>
  <si>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</si>
  <si>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</si>
  <si>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</si>
  <si>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</si>
  <si>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</si>
  <si>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</si>
  <si>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</si>
  <si>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</si>
  <si>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</si>
  <si>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</si>
  <si>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</si>
  <si>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</si>
  <si>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</si>
  <si>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</si>
  <si>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</si>
  <si>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</si>
  <si>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</si>
  <si>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</si>
  <si>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</si>
  <si>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</si>
  <si>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</si>
  <si>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</si>
  <si>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</si>
  <si>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</si>
  <si>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</si>
  <si>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</si>
  <si>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</si>
  <si>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</si>
  <si>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</si>
  <si>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</si>
  <si>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</si>
  <si>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</si>
  <si>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</si>
  <si>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</si>
  <si>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</si>
  <si>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</si>
  <si>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</si>
  <si>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</si>
  <si>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</si>
  <si>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</si>
  <si>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</si>
  <si>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</si>
  <si>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</si>
  <si>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</si>
  <si>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</si>
  <si>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</si>
  <si>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</si>
  <si>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</si>
  <si>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</si>
  <si>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</si>
  <si>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</si>
  <si>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</si>
  <si>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</si>
  <si>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</si>
  <si>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</si>
  <si>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</si>
  <si>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</si>
  <si>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</si>
  <si>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</si>
  <si>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</si>
  <si>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</si>
  <si>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</si>
  <si>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</si>
  <si>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</si>
  <si>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</si>
  <si>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</si>
  <si>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</si>
  <si>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</si>
  <si>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</si>
  <si>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</si>
  <si>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</si>
  <si>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</si>
  <si>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</si>
  <si>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</si>
  <si>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</si>
  <si>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</si>
  <si>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</si>
  <si>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</si>
  <si>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</si>
  <si>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</si>
  <si>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</si>
  <si>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</si>
  <si>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</si>
  <si>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</si>
  <si>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</si>
  <si>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</si>
  <si>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</si>
  <si>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</si>
  <si>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</si>
  <si>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</si>
  <si>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</si>
  <si>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</si>
  <si>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</si>
  <si>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</si>
  <si>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</si>
  <si>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</si>
  <si>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</si>
  <si>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</si>
  <si>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</si>
  <si>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</si>
  <si>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</si>
  <si>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</si>
  <si>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</si>
  <si>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</si>
  <si>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</si>
  <si>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</si>
  <si>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</si>
  <si>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</si>
  <si>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</si>
  <si>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</si>
  <si>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</si>
  <si>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</si>
  <si>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</si>
  <si>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</si>
  <si>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</si>
  <si>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</si>
  <si>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</si>
  <si>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</si>
  <si>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</si>
  <si>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</si>
  <si>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</si>
  <si>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</si>
  <si>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</si>
  <si>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</si>
  <si>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</si>
  <si>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</si>
  <si>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</si>
  <si>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</si>
  <si>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</si>
  <si>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</si>
  <si>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</si>
  <si>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</si>
  <si>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</si>
  <si>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</si>
  <si>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</si>
  <si>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</si>
  <si>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</si>
  <si>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</si>
  <si>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</si>
  <si>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</si>
  <si>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</si>
  <si>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</si>
  <si>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</si>
  <si>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</si>
  <si>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</si>
  <si>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</si>
  <si>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</si>
  <si>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</si>
  <si>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</si>
  <si>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</si>
  <si>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</si>
  <si>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</si>
  <si>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</si>
  <si>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</si>
  <si>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</si>
  <si>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</si>
  <si>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</si>
  <si>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</si>
  <si>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</si>
  <si>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</si>
  <si>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</si>
  <si>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</si>
  <si>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</si>
  <si>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</si>
  <si>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</si>
  <si>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</si>
  <si>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</si>
  <si>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</si>
  <si>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</si>
  <si>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</si>
  <si>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</si>
  <si>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</si>
  <si>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</si>
  <si>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</si>
  <si>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</si>
  <si>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</si>
  <si>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</si>
  <si>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</si>
  <si>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</si>
  <si>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</si>
  <si>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</si>
  <si>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</si>
  <si>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</si>
  <si>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</si>
  <si>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</si>
  <si>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</si>
  <si>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</si>
  <si>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</si>
  <si>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</si>
  <si>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</si>
  <si>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</si>
  <si>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</si>
  <si>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</si>
  <si>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</si>
  <si>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</si>
  <si>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</si>
  <si>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</si>
  <si>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</si>
  <si>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</si>
  <si>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</si>
  <si>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</si>
  <si>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</si>
  <si>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</si>
  <si>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</si>
  <si>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</si>
  <si>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</si>
  <si>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</si>
  <si>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</si>
  <si>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</si>
  <si>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</si>
  <si>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</si>
  <si>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</si>
  <si>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</si>
  <si>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</si>
  <si>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</si>
  <si>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</si>
  <si>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</si>
  <si>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</si>
  <si>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</si>
  <si>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</si>
  <si>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</si>
  <si>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</si>
  <si>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</si>
  <si>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</si>
  <si>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</si>
  <si>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</si>
  <si>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</si>
  <si>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</si>
  <si>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</si>
  <si>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</si>
  <si>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</si>
  <si>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</si>
  <si>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</si>
  <si>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</si>
  <si>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</si>
  <si>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</si>
  <si>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</si>
  <si>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</si>
  <si>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</si>
  <si>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</si>
  <si>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</si>
  <si>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</si>
  <si>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</si>
  <si>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</si>
  <si>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</si>
  <si>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</si>
  <si>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</si>
  <si>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</si>
  <si>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</si>
  <si>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</si>
  <si>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</si>
  <si>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</si>
  <si>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</si>
  <si>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</si>
  <si>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</si>
  <si>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</si>
  <si>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</si>
  <si>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</si>
  <si>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</si>
  <si>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</si>
  <si>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</si>
  <si>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</si>
  <si>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</si>
  <si>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</si>
  <si>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</si>
  <si>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</si>
  <si>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</si>
  <si>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</si>
  <si>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</si>
  <si>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</si>
  <si>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</si>
  <si>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</si>
  <si>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</si>
  <si>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</si>
  <si>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</si>
  <si>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</si>
  <si>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</si>
  <si>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</si>
  <si>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</si>
  <si>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</si>
  <si>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</si>
  <si>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</si>
  <si>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</si>
  <si>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</si>
  <si>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</si>
  <si>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</si>
  <si>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</si>
  <si>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</si>
  <si>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</si>
  <si>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</si>
  <si>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</si>
  <si>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</si>
  <si>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</si>
  <si>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</si>
  <si>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</si>
  <si>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</si>
  <si>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</si>
  <si>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</si>
  <si>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</si>
  <si>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</si>
  <si>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</si>
  <si>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</si>
  <si>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</si>
  <si>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</si>
  <si>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</si>
  <si>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</si>
  <si>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</si>
  <si>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</si>
  <si>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</si>
  <si>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</si>
  <si>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</si>
  <si>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</si>
  <si>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</si>
  <si>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</si>
  <si>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</si>
  <si>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</si>
  <si>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</si>
  <si>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</si>
  <si>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</si>
  <si>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</si>
  <si>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</si>
  <si>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</si>
  <si>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</si>
  <si>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</si>
  <si>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</si>
  <si>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</si>
  <si>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</si>
  <si>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</si>
  <si>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</si>
  <si>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</si>
  <si>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</si>
  <si>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</si>
  <si>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</si>
  <si>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</si>
  <si>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</si>
  <si>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</si>
  <si>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</si>
  <si>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</si>
  <si>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</si>
  <si>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</si>
  <si>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</si>
  <si>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</si>
  <si>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</si>
  <si>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</si>
  <si>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</si>
  <si>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</si>
  <si>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</si>
  <si>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</si>
  <si>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</si>
  <si>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</si>
  <si>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</si>
  <si>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</si>
  <si>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</si>
  <si>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</si>
  <si>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</si>
  <si>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</si>
  <si>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</si>
  <si>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</si>
  <si>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</si>
  <si>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</si>
  <si>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</si>
  <si>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</si>
  <si>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</si>
  <si>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</si>
  <si>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</si>
  <si>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</si>
  <si>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</si>
  <si>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</si>
  <si>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</si>
  <si>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</si>
  <si>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</si>
  <si>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</si>
  <si>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</si>
  <si>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</si>
  <si>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</si>
  <si>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</si>
  <si>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</si>
  <si>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</si>
  <si>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</si>
  <si>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</si>
  <si>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</si>
  <si>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</si>
  <si>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</si>
  <si>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</si>
  <si>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</si>
  <si>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</si>
  <si>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</si>
  <si>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</si>
  <si>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</si>
  <si>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</si>
  <si>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</si>
  <si>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</si>
  <si>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</si>
  <si>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</si>
  <si>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</si>
  <si>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</si>
  <si>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</si>
  <si>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</si>
  <si>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</si>
  <si>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</si>
  <si>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</si>
  <si>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</si>
  <si>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</si>
  <si>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</si>
  <si>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</si>
  <si>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</si>
  <si>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</si>
  <si>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</si>
  <si>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</si>
  <si>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</si>
  <si>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</si>
  <si>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</si>
  <si>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</si>
  <si>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</si>
  <si>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</si>
  <si>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</si>
  <si>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</si>
  <si>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</si>
  <si>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</si>
  <si>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</si>
  <si>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</si>
  <si>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</si>
  <si>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</si>
  <si>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</si>
  <si>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</si>
  <si>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</si>
  <si>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</si>
  <si>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</si>
  <si>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</si>
  <si>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</si>
  <si>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</si>
  <si>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</si>
  <si>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</si>
  <si>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</si>
  <si>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</si>
  <si>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</si>
  <si>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</si>
  <si>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</si>
  <si>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</si>
  <si>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</si>
  <si>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</si>
  <si>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</si>
  <si>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</si>
  <si>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</si>
  <si>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</si>
  <si>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</si>
  <si>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</si>
  <si>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</si>
  <si>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</si>
  <si>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</si>
  <si>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</si>
  <si>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</si>
  <si>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</si>
  <si>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</si>
  <si>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</si>
  <si>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</si>
  <si>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</si>
  <si>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</si>
  <si>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</si>
  <si>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</si>
  <si>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</si>
  <si>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</si>
  <si>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</si>
  <si>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</si>
  <si>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</si>
  <si>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</si>
  <si>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</si>
  <si>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</si>
  <si>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</si>
  <si>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</si>
  <si>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</si>
  <si>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</si>
  <si>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</si>
  <si>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</si>
  <si>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</si>
  <si>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</si>
  <si>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</si>
  <si>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</si>
  <si>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</si>
  <si>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</si>
  <si>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</si>
  <si>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</si>
  <si>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</si>
  <si>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</si>
  <si>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</si>
  <si>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</si>
  <si>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</si>
  <si>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</si>
  <si>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</si>
  <si>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</si>
  <si>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</si>
  <si>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</si>
  <si>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</si>
  <si>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</si>
  <si>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</si>
  <si>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</si>
  <si>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</si>
  <si>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</si>
  <si>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</si>
  <si>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</si>
  <si>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</si>
  <si>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</si>
  <si>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</si>
  <si>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</si>
  <si>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</si>
  <si>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</si>
  <si>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</si>
  <si>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</si>
  <si>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</si>
  <si>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</si>
  <si>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</si>
  <si>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</si>
  <si>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</si>
  <si>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</si>
  <si>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</si>
  <si>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</si>
  <si>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</si>
  <si>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</si>
  <si>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</si>
  <si>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</si>
  <si>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</si>
  <si>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</si>
  <si>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</si>
  <si>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</si>
  <si>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</si>
  <si>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</si>
  <si>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</si>
  <si>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</si>
  <si>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</si>
  <si>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</si>
  <si>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</si>
  <si>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</si>
  <si>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</si>
  <si>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</si>
  <si>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</si>
  <si>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</si>
  <si>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</si>
  <si>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</si>
  <si>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</si>
  <si>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</si>
  <si>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</si>
  <si>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</si>
  <si>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</si>
  <si>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</si>
  <si>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</si>
  <si>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</si>
  <si>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</si>
  <si>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</si>
  <si>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</si>
  <si>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</si>
  <si>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</si>
  <si>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</si>
  <si>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</si>
  <si>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</si>
  <si>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</si>
  <si>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</si>
  <si>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</si>
  <si>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</si>
  <si>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</si>
  <si>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</si>
  <si>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</si>
  <si>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</si>
  <si>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</si>
  <si>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</si>
  <si>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</si>
  <si>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</si>
  <si>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</si>
  <si>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</si>
  <si>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</si>
  <si>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</si>
  <si>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</si>
  <si>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</si>
  <si>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</si>
  <si>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</si>
  <si>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</si>
  <si>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</si>
  <si>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</si>
  <si>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</si>
  <si>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</si>
  <si>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</si>
  <si>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</si>
  <si>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</si>
  <si>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</si>
  <si>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</si>
  <si>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</si>
  <si>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</si>
  <si>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</si>
  <si>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</si>
  <si>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</si>
  <si>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</si>
  <si>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</si>
  <si>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</si>
  <si>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</si>
  <si>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</si>
  <si>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</si>
  <si>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</si>
  <si>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</si>
  <si>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</si>
  <si>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</si>
  <si>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</si>
  <si>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</si>
  <si>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</si>
  <si>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</si>
  <si>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</si>
  <si>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</si>
  <si>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</si>
  <si>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</si>
  <si>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</si>
  <si>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</si>
  <si>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</si>
  <si>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</si>
  <si>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</si>
  <si>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</si>
  <si>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</si>
  <si>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</si>
  <si>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</si>
  <si>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</si>
  <si>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</si>
  <si>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</si>
  <si>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</si>
  <si>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</si>
  <si>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</si>
  <si>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</si>
  <si>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</si>
  <si>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</si>
  <si>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</si>
  <si>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</si>
  <si>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</si>
  <si>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</si>
  <si>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</si>
  <si>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</si>
  <si>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</si>
  <si>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</si>
  <si>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</si>
  <si>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</si>
  <si>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</si>
  <si>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</si>
  <si>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</si>
  <si>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</si>
  <si>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</si>
  <si>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</si>
  <si>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</si>
  <si>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</si>
  <si>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</si>
  <si>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</si>
  <si>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</si>
  <si>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</si>
  <si>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</si>
  <si>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</si>
  <si>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</si>
  <si>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</si>
  <si>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</si>
  <si>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</si>
  <si>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</si>
  <si>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</si>
  <si>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</si>
  <si>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</si>
  <si>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</si>
  <si>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</si>
  <si>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</si>
  <si>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</si>
  <si>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</si>
  <si>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</si>
  <si>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</si>
  <si>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</si>
  <si>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</si>
  <si>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</si>
  <si>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</si>
  <si>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</si>
  <si>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</si>
  <si>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</si>
  <si>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</si>
  <si>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</si>
  <si>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</si>
  <si>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</si>
  <si>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</si>
  <si>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</si>
  <si>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</si>
  <si>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</si>
  <si>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</si>
  <si>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</si>
  <si>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</si>
  <si>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</si>
  <si>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</si>
  <si>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</si>
  <si>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</si>
  <si>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</si>
  <si>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</si>
  <si>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</si>
  <si>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</si>
  <si>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</si>
  <si>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</si>
  <si>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</si>
  <si>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</si>
  <si>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</si>
  <si>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</si>
  <si>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</si>
  <si>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</si>
  <si>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</si>
  <si>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</si>
  <si>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</si>
  <si>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</si>
  <si>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</si>
  <si>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</si>
  <si>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</si>
  <si>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</si>
  <si>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</si>
  <si>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</si>
  <si>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</si>
  <si>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</si>
  <si>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</si>
  <si>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</si>
  <si>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</si>
  <si>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</si>
  <si>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</si>
  <si>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</si>
  <si>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</si>
  <si>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</si>
  <si>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</si>
  <si>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</si>
  <si>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</si>
  <si>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</si>
  <si>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</si>
  <si>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</si>
  <si>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</si>
  <si>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</si>
  <si>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</si>
  <si>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</si>
  <si>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</si>
  <si>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</si>
  <si>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</si>
  <si>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</si>
  <si>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</si>
  <si>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</si>
  <si>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</si>
  <si>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</si>
  <si>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</si>
  <si>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</si>
  <si>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</si>
  <si>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</si>
  <si>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</si>
  <si>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</si>
  <si>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</si>
  <si>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</si>
  <si>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</si>
  <si>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</si>
  <si>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</si>
  <si>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</si>
  <si>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</si>
  <si>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</si>
  <si>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</si>
  <si>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</si>
  <si>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</si>
  <si>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</si>
  <si>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</si>
  <si>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</si>
  <si>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</si>
  <si>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</si>
  <si>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</si>
  <si>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</si>
  <si>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</si>
  <si>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</si>
  <si>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</si>
  <si>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</si>
  <si>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</si>
  <si>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</si>
  <si>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</si>
  <si>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</si>
  <si>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</si>
  <si>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</si>
  <si>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</si>
  <si>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</si>
  <si>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</si>
  <si>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</si>
  <si>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</si>
  <si>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</si>
  <si>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</si>
  <si>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</si>
  <si>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</si>
  <si>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</si>
  <si>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</si>
  <si>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</si>
  <si>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</si>
  <si>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</si>
  <si>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</si>
  <si>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</si>
  <si>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</si>
  <si>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</si>
  <si>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</si>
  <si>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</si>
  <si>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</si>
  <si>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</si>
  <si>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</si>
  <si>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</si>
  <si>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</si>
  <si>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</si>
  <si>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</si>
  <si>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</si>
  <si>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</si>
  <si>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</si>
  <si>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</si>
  <si>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</si>
  <si>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</si>
  <si>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</si>
  <si>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</si>
  <si>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</si>
  <si>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</si>
  <si>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</si>
  <si>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</si>
  <si>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</si>
  <si>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</si>
  <si>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</si>
  <si>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</si>
  <si>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</si>
  <si>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</si>
  <si>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</si>
  <si>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</si>
  <si>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</si>
  <si>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</si>
  <si>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</si>
  <si>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</si>
  <si>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</si>
  <si>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</si>
  <si>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</si>
  <si>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</si>
  <si>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</si>
  <si>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</si>
  <si>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</si>
  <si>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</si>
  <si>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</si>
  <si>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</si>
  <si>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</si>
  <si>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</si>
  <si>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</si>
  <si>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</si>
  <si>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</si>
  <si>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</si>
  <si>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</si>
  <si>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</si>
  <si>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</si>
  <si>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</si>
  <si>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</si>
  <si>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</si>
  <si>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</si>
  <si>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</si>
  <si>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</si>
  <si>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</si>
  <si>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</si>
  <si>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</si>
  <si>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</si>
  <si>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</si>
  <si>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</si>
  <si>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</si>
  <si>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</si>
  <si>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</si>
  <si>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</si>
  <si>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</si>
  <si>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</si>
  <si>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</si>
  <si>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</si>
  <si>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</si>
  <si>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</si>
  <si>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</si>
  <si>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</si>
  <si>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</si>
  <si>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</si>
  <si>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</si>
  <si>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</si>
  <si>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</si>
  <si>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</si>
  <si>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</si>
  <si>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</si>
  <si>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</si>
  <si>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</si>
  <si>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</si>
  <si>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</si>
  <si>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</si>
  <si>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</si>
  <si>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</si>
  <si>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</si>
  <si>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</si>
  <si>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</si>
  <si>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</si>
  <si>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</si>
  <si>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</si>
  <si>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</si>
  <si>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</si>
  <si>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</si>
  <si>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</si>
  <si>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</si>
  <si>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</si>
  <si>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</si>
  <si>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</si>
  <si>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</si>
  <si>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</si>
  <si>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</si>
  <si>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</si>
  <si>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</si>
  <si>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</si>
  <si>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</si>
  <si>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</si>
  <si>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</si>
  <si>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</si>
  <si>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</si>
  <si>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</si>
  <si>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</si>
  <si>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</si>
  <si>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</si>
  <si>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</si>
  <si>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</si>
  <si>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</si>
  <si>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</si>
  <si>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</si>
  <si>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</si>
  <si>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</si>
  <si>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</si>
  <si>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</si>
  <si>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</si>
  <si>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</si>
  <si>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</si>
  <si>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</si>
  <si>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</si>
  <si>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</si>
  <si>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</si>
  <si>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</si>
  <si>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</si>
  <si>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</si>
  <si>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</si>
  <si>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</si>
  <si>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</si>
  <si>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</si>
  <si>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</si>
  <si>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</si>
  <si>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</si>
  <si>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</si>
  <si>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</si>
  <si>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</si>
  <si>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</si>
  <si>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</si>
  <si>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</si>
  <si>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</si>
  <si>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</si>
  <si>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</si>
  <si>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</si>
  <si>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</si>
  <si>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</si>
  <si>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</si>
  <si>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</si>
  <si>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</si>
  <si>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</si>
  <si>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</si>
  <si>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</si>
  <si>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</si>
  <si>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</si>
  <si>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</si>
  <si>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</si>
  <si>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</si>
  <si>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</si>
  <si>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</si>
  <si>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</si>
  <si>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</si>
  <si>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</si>
  <si>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</si>
  <si>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</si>
  <si>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</si>
  <si>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</si>
  <si>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</si>
  <si>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</si>
  <si>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</si>
  <si>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</si>
  <si>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</si>
  <si>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</si>
  <si>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</si>
  <si>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</si>
  <si>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</si>
  <si>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</si>
  <si>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</si>
  <si>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</si>
  <si>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</si>
  <si>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</si>
  <si>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</si>
  <si>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</si>
  <si>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</si>
  <si>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</si>
  <si>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</si>
  <si>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</si>
  <si>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</si>
  <si>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</si>
  <si>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</si>
  <si>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</si>
  <si>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</si>
  <si>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</si>
  <si>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</si>
  <si>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</si>
  <si>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</si>
  <si>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</si>
  <si>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</si>
  <si>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</si>
  <si>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</si>
  <si>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</si>
  <si>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</si>
  <si>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</si>
  <si>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</si>
  <si>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</si>
  <si>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</si>
  <si>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</si>
  <si>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</si>
  <si>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</si>
  <si>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</si>
  <si>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</si>
  <si>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</si>
  <si>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</si>
  <si>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</si>
  <si>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</si>
  <si>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</si>
  <si>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</si>
  <si>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</si>
  <si>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</si>
  <si>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</si>
  <si>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</si>
  <si>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</si>
  <si>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</si>
  <si>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</si>
  <si>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</si>
  <si>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</si>
  <si>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</si>
  <si>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</si>
  <si>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</si>
  <si>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</si>
  <si>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</si>
  <si>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</si>
  <si>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</si>
  <si>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</si>
  <si>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</si>
  <si>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</si>
  <si>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</si>
  <si>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</si>
  <si>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</si>
  <si>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</si>
  <si>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</si>
  <si>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</si>
  <si>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</si>
  <si>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</si>
  <si>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</si>
  <si>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</si>
  <si>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</si>
  <si>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</si>
  <si>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</si>
  <si>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</si>
  <si>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</si>
  <si>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</si>
  <si>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</si>
  <si>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</si>
  <si>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</si>
  <si>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</si>
  <si>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</si>
  <si>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</si>
  <si>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</si>
  <si>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</si>
  <si>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</si>
  <si>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</si>
  <si>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</si>
  <si>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</si>
  <si>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</si>
  <si>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</si>
  <si>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</si>
  <si>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</si>
  <si>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</si>
  <si>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</si>
  <si>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</si>
  <si>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</si>
  <si>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</si>
  <si>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</si>
  <si>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</si>
  <si>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</si>
  <si>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</si>
  <si>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</si>
  <si>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</si>
  <si>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</si>
  <si>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</si>
  <si>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</si>
  <si>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</si>
  <si>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</si>
  <si>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</si>
  <si>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</si>
  <si>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</si>
  <si>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</si>
  <si>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</si>
  <si>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</si>
  <si>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</si>
  <si>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</si>
  <si>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</si>
  <si>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</si>
  <si>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</si>
  <si>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</si>
  <si>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</si>
  <si>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</si>
  <si>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</si>
  <si>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</si>
  <si>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</si>
  <si>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</si>
  <si>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</si>
  <si>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</si>
  <si>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</si>
  <si>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</si>
  <si>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</si>
  <si>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</si>
  <si>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</si>
  <si>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</si>
  <si>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</si>
  <si>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</si>
  <si>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</si>
  <si>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</si>
  <si>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</si>
  <si>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</si>
  <si>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</si>
  <si>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</si>
  <si>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</si>
  <si>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</si>
  <si>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</si>
  <si>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</si>
  <si>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</si>
  <si>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</si>
  <si>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</si>
  <si>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</si>
  <si>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</si>
  <si>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</si>
  <si>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</si>
  <si>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</si>
  <si>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</si>
  <si>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</si>
  <si>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</si>
  <si>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</si>
  <si>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</si>
  <si>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</si>
  <si>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</si>
  <si>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</si>
  <si>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</si>
  <si>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</si>
  <si>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</si>
  <si>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</si>
  <si>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</si>
  <si>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</si>
  <si>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</si>
  <si>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</si>
  <si>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</si>
  <si>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</si>
  <si>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</si>
  <si>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</si>
  <si>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</si>
  <si>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</si>
  <si>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</si>
  <si>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</si>
  <si>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</si>
  <si>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</si>
  <si>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</si>
  <si>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</si>
  <si>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</si>
  <si>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</si>
  <si>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</si>
  <si>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</si>
  <si>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</si>
  <si>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</si>
  <si>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</si>
  <si>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</si>
  <si>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</si>
  <si>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</si>
  <si>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</si>
  <si>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</si>
  <si>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</si>
  <si>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</si>
  <si>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</si>
  <si>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</si>
  <si>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</si>
  <si>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</si>
  <si>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</si>
  <si>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</si>
  <si>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</si>
  <si>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</si>
  <si>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</si>
  <si>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</si>
  <si>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</si>
  <si>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</si>
  <si>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</si>
  <si>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</si>
  <si>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</si>
  <si>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</si>
  <si>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</si>
  <si>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</si>
  <si>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</si>
  <si>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</si>
  <si>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</si>
  <si>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</si>
  <si>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</si>
  <si>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</si>
  <si>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</si>
  <si>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</si>
  <si>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</si>
  <si>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</si>
  <si>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</si>
  <si>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</si>
  <si>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</si>
  <si>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</si>
  <si>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</si>
  <si>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</si>
  <si>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</si>
  <si>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</si>
  <si>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</si>
  <si>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</si>
  <si>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</si>
  <si>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</si>
  <si>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</si>
  <si>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</si>
  <si>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</si>
  <si>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</si>
  <si>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</si>
  <si>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</si>
  <si>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</si>
  <si>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</si>
  <si>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</si>
  <si>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</si>
  <si>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</si>
  <si>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</si>
  <si>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</si>
  <si>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</si>
  <si>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</si>
  <si>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</si>
  <si>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</si>
  <si>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</si>
  <si>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</si>
  <si>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</si>
  <si>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</si>
  <si>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</si>
  <si>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</si>
  <si>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</si>
  <si>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</si>
  <si>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</si>
  <si>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</si>
  <si>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</si>
  <si>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</si>
  <si>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</si>
  <si>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</si>
  <si>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</si>
  <si>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</si>
  <si>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</si>
  <si>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</si>
  <si>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</si>
  <si>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</si>
  <si>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</si>
  <si>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</si>
  <si>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</si>
  <si>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</si>
  <si>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</si>
  <si>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</si>
  <si>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</si>
  <si>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</si>
  <si>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</si>
  <si>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</si>
  <si>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</si>
  <si>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</si>
  <si>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</si>
  <si>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</si>
  <si>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</si>
  <si>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</si>
  <si>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</si>
  <si>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</si>
  <si>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</si>
  <si>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</si>
  <si>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</si>
  <si>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</si>
  <si>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</si>
  <si>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</si>
  <si>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</si>
  <si>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</si>
  <si>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</si>
  <si>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</si>
  <si>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</si>
  <si>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</si>
  <si>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</si>
  <si>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</si>
  <si>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</si>
  <si>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</si>
  <si>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</si>
  <si>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</si>
  <si>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</si>
  <si>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</si>
  <si>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</si>
  <si>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</si>
  <si>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</si>
  <si>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</si>
  <si>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</si>
  <si>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</si>
  <si>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</si>
  <si>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</si>
  <si>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</si>
  <si>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</si>
  <si>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</si>
  <si>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</si>
  <si>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</si>
  <si>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</si>
  <si>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</si>
  <si>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</si>
  <si>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</si>
  <si>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</si>
  <si>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</si>
  <si>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</si>
  <si>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</si>
  <si>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</si>
  <si>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</si>
  <si>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</si>
  <si>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</si>
  <si>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</si>
  <si>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</si>
  <si>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</si>
  <si>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</si>
  <si>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</si>
  <si>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</si>
  <si>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</si>
  <si>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</si>
  <si>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</si>
  <si>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</si>
  <si>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</si>
  <si>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</si>
  <si>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</si>
  <si>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</si>
  <si>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</si>
  <si>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</si>
  <si>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</si>
  <si>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</si>
  <si>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</si>
  <si>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</si>
  <si>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</si>
  <si>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</si>
  <si>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</si>
  <si>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</si>
  <si>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</si>
  <si>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</si>
  <si>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</si>
  <si>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</si>
  <si>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</si>
  <si>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</si>
  <si>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</si>
  <si>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</si>
  <si>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</si>
  <si>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</si>
  <si>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</si>
  <si>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</si>
  <si>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</si>
  <si>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</si>
  <si>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</si>
  <si>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</si>
  <si>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</si>
  <si>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</si>
  <si>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</si>
  <si>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</si>
  <si>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</si>
  <si>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</si>
  <si>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</si>
  <si>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</si>
  <si>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</si>
  <si>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</si>
  <si>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</si>
  <si>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</si>
  <si>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</si>
  <si>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</si>
  <si>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</si>
  <si>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</si>
  <si>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</si>
  <si>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</si>
  <si>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</si>
  <si>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</si>
  <si>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</si>
  <si>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</si>
  <si>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</si>
  <si>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</si>
  <si>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</si>
  <si>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</si>
  <si>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</si>
  <si>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</si>
  <si>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</si>
  <si>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</si>
  <si>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</si>
  <si>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</si>
  <si>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</si>
  <si>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</si>
  <si>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</si>
  <si>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</si>
  <si>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</si>
  <si>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</si>
  <si>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</si>
  <si>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</si>
  <si>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</si>
  <si>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</si>
  <si>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</si>
  <si>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</si>
  <si>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</si>
  <si>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</si>
  <si>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</si>
  <si>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</si>
  <si>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</si>
  <si>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</si>
  <si>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</si>
  <si>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</si>
  <si>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</si>
  <si>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</si>
  <si>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</si>
  <si>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</si>
  <si>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</si>
  <si>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</si>
  <si>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</si>
  <si>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</si>
  <si>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</si>
  <si>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</si>
  <si>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</si>
  <si>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</si>
  <si>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</si>
  <si>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</si>
  <si>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</si>
  <si>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</si>
  <si>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</si>
  <si>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</si>
  <si>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</si>
  <si>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</si>
  <si>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</si>
  <si>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</si>
  <si>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</si>
  <si>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</si>
  <si>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</si>
  <si>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</si>
  <si>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</si>
  <si>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</si>
  <si>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</si>
  <si>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</si>
  <si>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</si>
  <si>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</si>
  <si>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</si>
  <si>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</si>
  <si>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</si>
  <si>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</si>
  <si>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</si>
  <si>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</si>
  <si>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</si>
  <si>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</si>
  <si>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</si>
  <si>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</si>
  <si>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</si>
  <si>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</si>
  <si>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</si>
  <si>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</si>
  <si>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</si>
  <si>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</si>
  <si>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</si>
  <si>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</si>
  <si>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</si>
  <si>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</si>
  <si>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</si>
  <si>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</si>
  <si>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</si>
  <si>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</si>
  <si>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</si>
  <si>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</si>
  <si>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</si>
  <si>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</si>
  <si>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</si>
  <si>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</si>
  <si>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</si>
  <si>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</si>
  <si>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</si>
  <si>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</si>
  <si>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</si>
  <si>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</si>
  <si>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</si>
  <si>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</si>
  <si>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</si>
  <si>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</si>
  <si>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</si>
  <si>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</si>
  <si>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</si>
  <si>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</si>
  <si>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</si>
  <si>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</si>
  <si>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</si>
  <si>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</si>
  <si>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</si>
  <si>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</si>
  <si>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</si>
  <si>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</si>
  <si>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</si>
  <si>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</si>
  <si>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</si>
  <si>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</si>
  <si>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</si>
  <si>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</si>
  <si>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</si>
  <si>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</si>
  <si>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</si>
  <si>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</si>
  <si>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</si>
  <si>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</si>
  <si>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</si>
  <si>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</si>
  <si>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</si>
  <si>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</si>
  <si>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</si>
  <si>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</si>
  <si>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</si>
  <si>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</si>
  <si>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</si>
  <si>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</si>
  <si>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</si>
  <si>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</si>
  <si>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</si>
  <si>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</si>
  <si>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</si>
  <si>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</si>
  <si>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</si>
  <si>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</si>
  <si>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</si>
  <si>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</si>
  <si>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</si>
  <si>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</si>
  <si>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</si>
  <si>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</si>
  <si>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</si>
  <si>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</si>
  <si>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</si>
  <si>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</si>
  <si>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</si>
  <si>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</si>
  <si>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</si>
  <si>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</si>
  <si>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</si>
  <si>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</si>
  <si>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</si>
  <si>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</si>
  <si>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</si>
  <si>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</si>
  <si>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</si>
  <si>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</si>
  <si>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</si>
  <si>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</si>
  <si>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</si>
  <si>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</si>
  <si>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</si>
  <si>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</si>
  <si>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</si>
  <si>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</si>
  <si>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</si>
  <si>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</si>
  <si>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</si>
  <si>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</si>
  <si>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</si>
  <si>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</si>
  <si>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</si>
  <si>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</si>
  <si>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</si>
  <si>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</si>
  <si>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</si>
  <si>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</si>
  <si>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</si>
  <si>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</si>
  <si>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</si>
  <si>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</si>
  <si>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</si>
  <si>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</si>
  <si>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</si>
  <si>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</si>
  <si>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</si>
  <si>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</si>
  <si>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</si>
  <si>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</si>
  <si>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</si>
  <si>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</si>
  <si>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</si>
  <si>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</si>
  <si>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</si>
  <si>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</si>
  <si>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</si>
  <si>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</si>
  <si>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</si>
  <si>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</si>
  <si>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</si>
  <si>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</si>
  <si>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</si>
  <si>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</si>
  <si>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</si>
  <si>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</si>
  <si>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</si>
  <si>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</si>
  <si>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</si>
  <si>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</si>
  <si>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</si>
  <si>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</si>
  <si>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</si>
  <si>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</si>
  <si>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</si>
  <si>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</si>
  <si>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</si>
  <si>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</si>
  <si>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</si>
  <si>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</si>
  <si>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</si>
  <si>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</si>
  <si>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</si>
  <si>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</si>
  <si>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</si>
  <si>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</si>
  <si>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</si>
  <si>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</si>
  <si>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</si>
  <si>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</si>
  <si>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</si>
  <si>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</si>
  <si>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</si>
  <si>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</si>
  <si>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</si>
  <si>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</si>
  <si>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</si>
  <si>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</si>
  <si>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</si>
  <si>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</si>
  <si>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</si>
  <si>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</si>
  <si>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</si>
  <si>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</si>
  <si>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</si>
  <si>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</si>
  <si>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</si>
  <si>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</si>
  <si>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</si>
  <si>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</si>
  <si>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</si>
  <si>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</si>
  <si>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</si>
  <si>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</si>
  <si>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</si>
  <si>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</si>
  <si>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</si>
  <si>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</si>
  <si>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</si>
  <si>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</si>
  <si>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</si>
  <si>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</si>
  <si>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</si>
  <si>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</si>
  <si>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</si>
  <si>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</si>
  <si>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</si>
  <si>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</si>
  <si>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</si>
  <si>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</si>
  <si>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</si>
  <si>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</si>
  <si>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</si>
  <si>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</si>
  <si>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</si>
  <si>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</si>
  <si>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</si>
  <si>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</si>
  <si>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</si>
  <si>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</si>
  <si>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</si>
  <si>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</si>
  <si>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</si>
  <si>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</si>
  <si>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</si>
  <si>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</si>
  <si>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</si>
  <si>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</si>
  <si>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</si>
  <si>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</si>
  <si>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</si>
  <si>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</si>
  <si>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</si>
  <si>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</si>
  <si>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</si>
  <si>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</si>
  <si>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</si>
  <si>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</si>
  <si>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</si>
  <si>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</si>
  <si>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</si>
  <si>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</si>
  <si>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</si>
  <si>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</si>
  <si>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</si>
  <si>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</si>
  <si>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</si>
  <si>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</si>
  <si>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</si>
  <si>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</si>
  <si>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</si>
  <si>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</si>
  <si>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</si>
  <si>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</si>
  <si>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</si>
  <si>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</si>
  <si>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</si>
  <si>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</si>
  <si>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</si>
  <si>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</si>
  <si>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</si>
  <si>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</si>
  <si>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</si>
  <si>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</si>
  <si>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</si>
  <si>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</si>
  <si>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</si>
  <si>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</si>
  <si>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</si>
  <si>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</si>
  <si>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</si>
  <si>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</si>
  <si>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</si>
  <si>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</si>
  <si>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</si>
  <si>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</si>
  <si>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</si>
  <si>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</si>
  <si>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</si>
  <si>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</si>
  <si>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</si>
  <si>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</si>
  <si>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</si>
  <si>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</si>
  <si>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</si>
  <si>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</si>
  <si>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</si>
  <si>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</si>
  <si>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</si>
  <si>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</si>
  <si>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</si>
  <si>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</si>
  <si>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</si>
  <si>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</si>
  <si>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</si>
  <si>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</si>
  <si>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</si>
  <si>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</si>
  <si>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</si>
  <si>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</si>
  <si>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</si>
  <si>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</si>
  <si>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</si>
  <si>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</si>
  <si>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</si>
  <si>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</si>
  <si>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</si>
  <si>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</si>
  <si>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</si>
  <si>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</si>
  <si>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</si>
  <si>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</si>
  <si>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</si>
  <si>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</si>
  <si>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</si>
  <si>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</si>
  <si>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</si>
  <si>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</si>
  <si>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</si>
  <si>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</si>
  <si>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</si>
  <si>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</si>
  <si>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</si>
  <si>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</si>
  <si>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</si>
  <si>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</si>
  <si>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</si>
  <si>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</si>
  <si>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</si>
  <si>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</si>
  <si>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</si>
  <si>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</si>
  <si>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</si>
  <si>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</si>
  <si>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</si>
  <si>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</si>
  <si>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</si>
  <si>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</si>
  <si>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</si>
  <si>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</si>
  <si>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</si>
  <si>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</si>
  <si>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</si>
  <si>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</si>
  <si>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</si>
  <si>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</si>
  <si>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</si>
  <si>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</si>
  <si>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</si>
  <si>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</si>
  <si>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</si>
  <si>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</si>
  <si>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</si>
  <si>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</si>
  <si>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</si>
  <si>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</si>
  <si>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</si>
  <si>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</si>
  <si>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</si>
  <si>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</si>
  <si>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</si>
  <si>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</si>
  <si>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</si>
  <si>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</si>
  <si>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</si>
  <si>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</si>
  <si>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</si>
  <si>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</si>
  <si>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</si>
  <si>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</si>
  <si>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</si>
  <si>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</si>
  <si>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</si>
  <si>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</si>
  <si>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</si>
  <si>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</si>
  <si>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</si>
  <si>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</si>
  <si>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</si>
  <si>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</si>
  <si>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</si>
  <si>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</si>
  <si>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</si>
  <si>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</si>
  <si>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</si>
  <si>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</si>
  <si>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</si>
  <si>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</si>
  <si>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</si>
  <si>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</si>
  <si>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</si>
  <si>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</si>
  <si>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</si>
  <si>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</si>
  <si>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</si>
  <si>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</si>
  <si>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</si>
  <si>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</si>
  <si>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</si>
  <si>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</si>
  <si>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</si>
  <si>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</si>
  <si>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</si>
  <si>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</si>
  <si>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</si>
  <si>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</si>
  <si>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</si>
  <si>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</si>
  <si>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</si>
  <si>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</si>
  <si>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</si>
  <si>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</si>
  <si>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</si>
  <si>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</si>
  <si>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</si>
  <si>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</si>
  <si>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</si>
  <si>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</si>
  <si>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</si>
  <si>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</si>
  <si>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</si>
  <si>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</si>
  <si>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</si>
  <si>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</si>
  <si>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</si>
  <si>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</si>
  <si>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</si>
  <si>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</si>
  <si>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</si>
  <si>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</si>
  <si>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</si>
  <si>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</si>
  <si>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</si>
  <si>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</si>
  <si>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</si>
  <si>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</si>
  <si>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</si>
  <si>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</si>
  <si>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</si>
  <si>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</si>
  <si>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</si>
  <si>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</si>
  <si>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</si>
  <si>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</si>
  <si>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</si>
  <si>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</si>
  <si>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</si>
  <si>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</si>
  <si>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</si>
  <si>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</si>
  <si>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</si>
  <si>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</si>
  <si>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</si>
  <si>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</si>
  <si>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</si>
  <si>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</si>
  <si>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</si>
  <si>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</si>
  <si>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</si>
  <si>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</si>
  <si>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</si>
  <si>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</si>
  <si>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</si>
  <si>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</si>
  <si>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</si>
  <si>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</si>
  <si>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</si>
  <si>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</si>
  <si>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</si>
  <si>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</si>
  <si>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</si>
  <si>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</si>
  <si>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</si>
  <si>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</si>
  <si>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</si>
  <si>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</si>
  <si>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</si>
  <si>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</si>
  <si>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</si>
  <si>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</si>
  <si>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</si>
  <si>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</si>
  <si>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</si>
  <si>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</si>
  <si>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</si>
  <si>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</si>
  <si>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</si>
  <si>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</si>
  <si>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</si>
  <si>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</si>
  <si>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</si>
  <si>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</si>
  <si>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</si>
  <si>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</si>
  <si>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</si>
  <si>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</si>
  <si>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</si>
  <si>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</si>
  <si>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</si>
  <si>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</si>
  <si>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</si>
  <si>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</si>
  <si>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</si>
  <si>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</si>
  <si>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</si>
  <si>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</si>
  <si>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</si>
  <si>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</si>
  <si>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</si>
  <si>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</si>
  <si>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</si>
  <si>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</si>
  <si>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</si>
  <si>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</si>
  <si>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</si>
  <si>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</si>
  <si>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</si>
  <si>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</si>
  <si>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</si>
  <si>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</si>
  <si>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</si>
  <si>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</si>
  <si>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</si>
  <si>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</si>
  <si>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</si>
  <si>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</si>
  <si>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</si>
  <si>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</si>
  <si>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</si>
  <si>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</si>
  <si>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</si>
  <si>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</si>
  <si>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</si>
  <si>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</si>
  <si>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</si>
  <si>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</si>
  <si>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</si>
  <si>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</si>
  <si>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</si>
  <si>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</si>
  <si>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</si>
  <si>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</si>
  <si>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</si>
  <si>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</si>
  <si>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</si>
  <si>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</si>
  <si>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</si>
  <si>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</si>
  <si>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</si>
  <si>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</si>
  <si>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</si>
  <si>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</si>
  <si>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</si>
  <si>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</si>
  <si>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</si>
  <si>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</si>
  <si>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</si>
  <si>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</si>
  <si>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</si>
  <si>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</si>
  <si>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</si>
  <si>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</si>
  <si>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</si>
  <si>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</si>
  <si>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</si>
  <si>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</si>
  <si>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</si>
  <si>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</si>
  <si>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</si>
  <si>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</si>
  <si>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</si>
  <si>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</si>
  <si>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</si>
  <si>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</si>
  <si>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</si>
  <si>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</si>
  <si>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</si>
  <si>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</si>
  <si>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</si>
  <si>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</si>
  <si>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</si>
  <si>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</si>
  <si>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</si>
  <si>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</si>
  <si>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</si>
  <si>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</si>
  <si>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</si>
  <si>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</si>
  <si>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</si>
  <si>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</si>
  <si>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</si>
  <si>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</si>
  <si>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</si>
  <si>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</si>
  <si>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</si>
  <si>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</si>
  <si>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</si>
  <si>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</si>
  <si>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</si>
  <si>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</si>
  <si>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</si>
  <si>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</si>
  <si>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</si>
  <si>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</si>
  <si>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</si>
  <si>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</si>
  <si>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</si>
  <si>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</si>
  <si>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</si>
  <si>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</si>
  <si>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</si>
  <si>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</si>
  <si>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</si>
  <si>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</si>
  <si>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</si>
  <si>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</si>
  <si>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</si>
  <si>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</si>
  <si>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</si>
  <si>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</si>
  <si>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</si>
  <si>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</si>
  <si>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</si>
  <si>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</si>
  <si>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</si>
  <si>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</si>
  <si>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</si>
  <si>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</si>
  <si>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</si>
  <si>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</si>
  <si>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</si>
  <si>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</si>
  <si>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</si>
  <si>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</si>
  <si>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</si>
  <si>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</si>
  <si>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</si>
  <si>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</si>
  <si>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</si>
  <si>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</si>
  <si>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</si>
  <si>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</si>
  <si>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</si>
  <si>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</si>
  <si>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</si>
  <si>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</si>
  <si>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</si>
  <si>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</si>
  <si>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</si>
  <si>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</si>
  <si>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</si>
  <si>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</si>
  <si>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</si>
  <si>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</si>
  <si>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</si>
  <si>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</si>
  <si>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</si>
  <si>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</si>
  <si>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</si>
  <si>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</si>
  <si>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</si>
  <si>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</si>
  <si>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</si>
  <si>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</si>
  <si>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</si>
  <si>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</si>
  <si>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</si>
  <si>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</si>
  <si>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</si>
  <si>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</si>
  <si>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</si>
  <si>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</si>
  <si>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</si>
  <si>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</si>
  <si>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</si>
  <si>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</si>
  <si>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</si>
  <si>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</si>
  <si>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</si>
  <si>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</si>
  <si>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</si>
  <si>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</si>
  <si>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</si>
  <si>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</si>
  <si>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</si>
  <si>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</si>
  <si>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</si>
  <si>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</si>
  <si>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</si>
  <si>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</si>
  <si>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</si>
  <si>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</si>
  <si>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</si>
  <si>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</si>
  <si>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</si>
  <si>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</si>
  <si>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</si>
  <si>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</si>
  <si>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</si>
  <si>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</si>
  <si>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</si>
  <si>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</si>
  <si>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</si>
  <si>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</si>
  <si>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</si>
  <si>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</si>
  <si>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</si>
  <si>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</si>
  <si>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</si>
  <si>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</si>
  <si>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</si>
  <si>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</si>
  <si>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</si>
  <si>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</si>
  <si>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</si>
  <si>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</si>
  <si>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</si>
  <si>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</si>
  <si>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</si>
  <si>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</si>
  <si>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</si>
  <si>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</si>
  <si>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</si>
  <si>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</si>
  <si>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</si>
  <si>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</si>
  <si>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</si>
  <si>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</si>
  <si>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</si>
  <si>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</si>
  <si>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</si>
  <si>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</si>
  <si>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</si>
  <si>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</si>
  <si>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</si>
  <si>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</si>
  <si>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</si>
  <si>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</si>
  <si>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</si>
  <si>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</si>
  <si>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</si>
  <si>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</si>
  <si>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</si>
  <si>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</si>
  <si>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</si>
  <si>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</si>
  <si>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</si>
  <si>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</si>
  <si>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</si>
  <si>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</si>
  <si>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</si>
  <si>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</si>
  <si>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</si>
  <si>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</si>
  <si>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</si>
  <si>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</si>
  <si>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</si>
  <si>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</si>
  <si>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</si>
  <si>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</si>
  <si>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</si>
  <si>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</si>
  <si>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</si>
  <si>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</si>
  <si>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</si>
  <si>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</si>
  <si>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</si>
  <si>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</si>
  <si>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</si>
  <si>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</si>
  <si>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</si>
  <si>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</si>
  <si>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</si>
  <si>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</si>
  <si>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</si>
  <si>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</si>
  <si>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</si>
  <si>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</si>
  <si>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</si>
  <si>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</si>
  <si>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</si>
  <si>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</si>
  <si>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</si>
  <si>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</si>
  <si>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</si>
  <si>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</si>
  <si>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</si>
  <si>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</si>
  <si>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</si>
  <si>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</si>
  <si>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</si>
  <si>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</si>
  <si>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</si>
  <si>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</si>
  <si>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</si>
  <si>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</si>
  <si>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</si>
  <si>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</si>
  <si>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</si>
  <si>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</si>
  <si>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</si>
  <si>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</si>
  <si>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</si>
  <si>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</si>
  <si>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</si>
  <si>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</si>
  <si>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</si>
  <si>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</si>
  <si>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</si>
  <si>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</si>
  <si>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</si>
  <si>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</si>
  <si>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</si>
  <si>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</si>
  <si>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</si>
  <si>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</si>
  <si>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</si>
  <si>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</si>
  <si>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</si>
  <si>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</si>
  <si>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</si>
  <si>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</si>
  <si>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</si>
  <si>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</si>
  <si>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</si>
  <si>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</si>
  <si>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</si>
  <si>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</si>
  <si>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</si>
  <si>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</si>
  <si>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</si>
  <si>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</si>
  <si>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</si>
  <si>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</si>
  <si>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</si>
  <si>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</si>
  <si>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</si>
  <si>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</si>
  <si>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</si>
  <si>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</si>
  <si>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</si>
  <si>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</si>
  <si>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</si>
  <si>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</si>
  <si>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</si>
  <si>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</si>
  <si>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</si>
  <si>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</si>
  <si>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</si>
  <si>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</si>
  <si>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</si>
  <si>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</si>
  <si>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</si>
  <si>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</si>
  <si>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</si>
  <si>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</si>
  <si>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</si>
  <si>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</si>
  <si>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</si>
  <si>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</si>
  <si>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</si>
  <si>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</si>
  <si>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</si>
  <si>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</si>
  <si>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</si>
  <si>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</si>
  <si>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</si>
  <si>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</si>
  <si>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</si>
  <si>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</si>
  <si>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</si>
  <si>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</si>
  <si>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</si>
  <si>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</si>
  <si>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</si>
  <si>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</si>
  <si>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</si>
  <si>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</si>
  <si>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</si>
  <si>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</si>
  <si>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</si>
  <si>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</si>
  <si>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</si>
  <si>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</si>
  <si>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</si>
  <si>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</si>
  <si>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</si>
  <si>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</si>
  <si>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</si>
  <si>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</si>
  <si>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</si>
  <si>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</si>
  <si>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</si>
  <si>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</si>
  <si>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</si>
  <si>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</si>
  <si>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</si>
  <si>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</si>
  <si>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</si>
  <si>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</si>
  <si>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</si>
  <si>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</si>
  <si>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</si>
  <si>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</si>
  <si>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</si>
  <si>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</si>
  <si>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</si>
  <si>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</si>
  <si>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</si>
  <si>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</si>
  <si>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</si>
  <si>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</si>
  <si>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</si>
  <si>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</si>
  <si>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</si>
  <si>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</si>
  <si>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</si>
  <si>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</si>
  <si>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</si>
  <si>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</si>
  <si>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</si>
  <si>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</si>
  <si>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</si>
  <si>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</si>
  <si>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</si>
  <si>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</si>
  <si>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</si>
  <si>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</si>
  <si>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</si>
  <si>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</si>
  <si>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</si>
  <si>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</si>
  <si>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</si>
  <si>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</si>
  <si>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</si>
  <si>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</si>
  <si>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</si>
  <si>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</si>
  <si>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</si>
  <si>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</si>
  <si>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</si>
  <si>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</si>
  <si>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</si>
  <si>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</si>
  <si>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</si>
  <si>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</si>
  <si>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</si>
  <si>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</si>
  <si>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</si>
  <si>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</si>
  <si>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</si>
  <si>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</si>
  <si>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</si>
  <si>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</si>
  <si>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</si>
  <si>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</si>
  <si>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</si>
  <si>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</si>
  <si>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</si>
  <si>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</si>
  <si>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</si>
  <si>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</si>
  <si>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</si>
  <si>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</si>
  <si>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</si>
  <si>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</si>
  <si>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</si>
  <si>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</si>
  <si>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</si>
  <si>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</si>
  <si>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</si>
  <si>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</si>
  <si>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</si>
  <si>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</si>
  <si>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</si>
  <si>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</si>
  <si>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</si>
  <si>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</si>
  <si>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</si>
  <si>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</si>
  <si>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</si>
  <si>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</si>
  <si>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</si>
  <si>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</si>
  <si>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</si>
  <si>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</si>
  <si>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</si>
  <si>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</si>
  <si>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</si>
  <si>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</si>
  <si>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</si>
  <si>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</si>
  <si>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</si>
  <si>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</si>
  <si>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</si>
  <si>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</si>
  <si>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</si>
  <si>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</si>
  <si>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</si>
  <si>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</si>
  <si>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</si>
  <si>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</si>
  <si>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</si>
  <si>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</si>
  <si>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</si>
  <si>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</si>
  <si>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</si>
  <si>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</si>
  <si>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</si>
  <si>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</si>
  <si>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</si>
  <si>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</si>
  <si>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</si>
  <si>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</si>
  <si>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</si>
  <si>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</si>
  <si>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</si>
  <si>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</si>
  <si>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</si>
  <si>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</si>
  <si>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</si>
  <si>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</si>
  <si>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</si>
  <si>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</si>
  <si>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</si>
  <si>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</si>
  <si>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</si>
  <si>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</si>
  <si>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</si>
  <si>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</si>
  <si>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</si>
  <si>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</si>
  <si>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</si>
  <si>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</si>
  <si>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</si>
  <si>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</si>
  <si>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</si>
  <si>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</si>
  <si>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</si>
  <si>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</si>
  <si>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</si>
  <si>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</si>
  <si>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</si>
  <si>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</si>
  <si>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</si>
  <si>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</si>
  <si>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</si>
  <si>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</si>
  <si>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</si>
  <si>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</si>
  <si>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</si>
  <si>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</si>
  <si>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</si>
  <si>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</si>
  <si>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</si>
  <si>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</si>
  <si>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</si>
  <si>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</si>
  <si>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</si>
  <si>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</si>
  <si>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</si>
  <si>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</si>
  <si>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</si>
  <si>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</si>
  <si>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</si>
  <si>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</si>
  <si>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</si>
  <si>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</si>
  <si>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</si>
  <si>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</si>
  <si>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</si>
  <si>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</si>
  <si>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</si>
  <si>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</si>
  <si>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</si>
  <si>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</si>
  <si>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</si>
  <si>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</si>
  <si>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</si>
  <si>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</si>
  <si>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</si>
  <si>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</si>
  <si>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</si>
  <si>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</si>
  <si>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</si>
  <si>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</si>
  <si>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</si>
  <si>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</si>
  <si>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</si>
  <si>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</si>
  <si>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</si>
  <si>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</si>
  <si>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</si>
  <si>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</si>
  <si>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</si>
  <si>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</si>
  <si>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</si>
  <si>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</si>
  <si>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</si>
  <si>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</si>
  <si>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</si>
  <si>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</si>
  <si>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</si>
  <si>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</si>
  <si>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</si>
  <si>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</si>
  <si>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</si>
  <si>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</si>
  <si>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</si>
  <si>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</si>
  <si>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</si>
  <si>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</si>
  <si>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</si>
  <si>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</si>
  <si>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</si>
  <si>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</si>
  <si>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</si>
  <si>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</si>
  <si>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</si>
  <si>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</si>
  <si>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</si>
  <si>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</si>
  <si>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</si>
  <si>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</si>
  <si>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</si>
  <si>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</si>
  <si>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</si>
  <si>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</si>
  <si>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</si>
  <si>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</si>
  <si>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</si>
  <si>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</si>
  <si>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</si>
  <si>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</si>
  <si>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</si>
  <si>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</si>
  <si>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</si>
  <si>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</si>
  <si>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</si>
  <si>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</si>
  <si>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</si>
  <si>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</si>
  <si>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</si>
  <si>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</si>
  <si>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</si>
  <si>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</si>
  <si>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</si>
  <si>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</si>
  <si>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</si>
  <si>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</si>
  <si>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</si>
  <si>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</si>
  <si>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</si>
  <si>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</si>
  <si>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</si>
  <si>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</si>
  <si>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</si>
  <si>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</si>
  <si>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</si>
  <si>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</si>
  <si>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</si>
  <si>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</si>
  <si>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</si>
  <si>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</si>
  <si>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</si>
  <si>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</si>
  <si>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</si>
  <si>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</si>
  <si>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</si>
  <si>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</si>
  <si>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</si>
  <si>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</si>
  <si>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</si>
  <si>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</si>
  <si>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</si>
  <si>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</si>
  <si>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</si>
  <si>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</si>
  <si>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</si>
  <si>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</si>
  <si>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</si>
  <si>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</si>
  <si>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</si>
  <si>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</si>
  <si>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</si>
  <si>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</si>
  <si>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</si>
  <si>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</si>
  <si>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</si>
  <si>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</si>
  <si>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</si>
  <si>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</si>
  <si>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</si>
  <si>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</si>
  <si>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</si>
  <si>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</si>
  <si>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</si>
  <si>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</si>
  <si>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</si>
  <si>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</si>
  <si>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</si>
  <si>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</si>
  <si>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</si>
  <si>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</si>
  <si>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</si>
  <si>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</si>
  <si>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</si>
  <si>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</si>
  <si>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</si>
  <si>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</si>
  <si>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</si>
  <si>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</si>
  <si>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</si>
  <si>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</si>
  <si>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</si>
  <si>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</si>
  <si>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</si>
  <si>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</si>
  <si>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</si>
  <si>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</si>
  <si>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</si>
  <si>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</si>
  <si>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</si>
  <si>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</si>
  <si>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</si>
  <si>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</si>
  <si>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</si>
  <si>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</si>
  <si>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</si>
  <si>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</si>
  <si>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</si>
  <si>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</si>
  <si>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</si>
  <si>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</si>
  <si>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</si>
  <si>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</si>
  <si>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</si>
  <si>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</si>
  <si>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</si>
  <si>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</si>
  <si>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</si>
  <si>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</si>
  <si>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</si>
  <si>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</si>
  <si>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</si>
  <si>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</si>
  <si>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</si>
  <si>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</si>
  <si>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</si>
  <si>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</si>
  <si>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</si>
  <si>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</si>
  <si>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</si>
  <si>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</si>
  <si>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</si>
  <si>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</si>
  <si>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</si>
  <si>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</si>
  <si>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</si>
  <si>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</si>
  <si>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</si>
  <si>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</si>
  <si>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</si>
  <si>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</si>
  <si>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</si>
  <si>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</si>
  <si>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</si>
  <si>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</si>
  <si>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</si>
  <si>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</si>
  <si>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</si>
  <si>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</si>
  <si>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</si>
  <si>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</si>
  <si>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</si>
  <si>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</si>
  <si>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</si>
  <si>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</si>
  <si>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</si>
  <si>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</si>
  <si>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</si>
  <si>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</si>
  <si>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</si>
  <si>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</si>
  <si>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</si>
  <si>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</si>
  <si>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</si>
  <si>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</si>
  <si>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</si>
  <si>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</si>
  <si>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</si>
  <si>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</si>
  <si>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</si>
  <si>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</si>
  <si>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</si>
  <si>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</si>
  <si>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</si>
  <si>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</si>
  <si>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</si>
  <si>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</si>
  <si>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</si>
  <si>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</si>
  <si>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</si>
  <si>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</si>
  <si>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</si>
  <si>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</si>
  <si>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</si>
  <si>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</si>
  <si>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</si>
  <si>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</si>
  <si>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</si>
  <si>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</si>
  <si>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</si>
  <si>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</si>
  <si>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</si>
  <si>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</si>
  <si>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</si>
  <si>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</si>
  <si>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</si>
  <si>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</si>
  <si>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</si>
  <si>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</si>
  <si>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</si>
  <si>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</si>
  <si>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</si>
  <si>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</si>
  <si>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</si>
  <si>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</si>
  <si>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</si>
  <si>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</si>
  <si>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</si>
  <si>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</si>
  <si>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</si>
  <si>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</si>
  <si>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</si>
  <si>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</si>
  <si>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</si>
  <si>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</si>
  <si>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</si>
  <si>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</si>
  <si>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</si>
  <si>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</si>
  <si>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</si>
  <si>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</si>
  <si>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</si>
  <si>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</si>
  <si>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</si>
  <si>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</si>
  <si>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</si>
  <si>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</si>
  <si>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</si>
  <si>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</si>
  <si>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</si>
  <si>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</si>
  <si>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</si>
  <si>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</si>
  <si>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</si>
  <si>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</si>
  <si>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</si>
  <si>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</si>
  <si>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</si>
  <si>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</si>
  <si>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</si>
  <si>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</si>
  <si>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</si>
  <si>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</si>
  <si>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</si>
  <si>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</si>
  <si>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</si>
  <si>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</si>
  <si>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</si>
  <si>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</si>
  <si>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</si>
  <si>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</si>
  <si>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</si>
  <si>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</si>
  <si>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</si>
  <si>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</si>
  <si>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</si>
  <si>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</si>
  <si>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</si>
  <si>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</si>
  <si>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</si>
  <si>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</si>
  <si>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</si>
  <si>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</si>
  <si>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</si>
  <si>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</si>
  <si>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</si>
  <si>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</si>
  <si>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</si>
  <si>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</si>
  <si>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</si>
  <si>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</si>
  <si>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</si>
  <si>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</si>
  <si>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</si>
  <si>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</si>
  <si>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</si>
  <si>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</si>
  <si>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</si>
  <si>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</si>
  <si>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</si>
  <si>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</si>
  <si>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</si>
  <si>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</si>
  <si>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</si>
  <si>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</si>
  <si>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</si>
  <si>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</si>
  <si>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</si>
  <si>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</si>
  <si>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</si>
  <si>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</si>
  <si>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</si>
  <si>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</si>
  <si>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</si>
  <si>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</si>
  <si>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</si>
  <si>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</si>
  <si>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</si>
  <si>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</si>
  <si>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</si>
  <si>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</si>
  <si>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</si>
  <si>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</si>
  <si>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</si>
  <si>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</si>
  <si>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</si>
  <si>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</si>
  <si>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</si>
  <si>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</si>
  <si>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</si>
  <si>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</si>
  <si>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</si>
  <si>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</si>
  <si>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</si>
  <si>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</si>
  <si>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</si>
  <si>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</si>
  <si>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</si>
  <si>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</si>
  <si>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</si>
  <si>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</si>
  <si>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</si>
  <si>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</si>
  <si>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</si>
  <si>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</si>
  <si>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</si>
  <si>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</si>
  <si>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</si>
  <si>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</si>
  <si>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</si>
  <si>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</si>
  <si>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</si>
  <si>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</si>
  <si>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</si>
  <si>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</si>
  <si>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</si>
  <si>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</si>
  <si>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</si>
  <si>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</si>
  <si>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</si>
  <si>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</si>
  <si>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</si>
  <si>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</si>
  <si>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</si>
  <si>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</si>
  <si>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</si>
  <si>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</si>
  <si>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</si>
  <si>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</si>
  <si>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</si>
  <si>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</si>
  <si>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</si>
  <si>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</si>
  <si>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</si>
  <si>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</si>
  <si>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</si>
  <si>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</si>
  <si>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</si>
  <si>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</si>
  <si>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</si>
  <si>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</si>
  <si>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</si>
  <si>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</si>
  <si>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</si>
  <si>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</si>
  <si>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</si>
  <si>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</si>
  <si>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</si>
  <si>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</si>
  <si>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</si>
  <si>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</si>
  <si>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</si>
  <si>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</si>
  <si>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</si>
  <si>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</si>
  <si>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</si>
  <si>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</si>
  <si>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</si>
  <si>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</si>
  <si>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</si>
  <si>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</si>
  <si>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</si>
  <si>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</si>
  <si>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</si>
  <si>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</si>
  <si>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</si>
  <si>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</si>
  <si>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</si>
  <si>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</si>
  <si>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</si>
  <si>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</si>
  <si>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</si>
  <si>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</si>
  <si>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</si>
  <si>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</si>
  <si>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</si>
  <si>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</si>
  <si>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</si>
  <si>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</si>
  <si>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</si>
  <si>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</si>
  <si>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</si>
  <si>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</si>
  <si>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</si>
  <si>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</si>
  <si>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</si>
  <si>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</si>
  <si>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</si>
  <si>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</si>
  <si>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</si>
  <si>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</si>
  <si>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</si>
  <si>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</si>
  <si>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</si>
  <si>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</si>
  <si>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</si>
  <si>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</si>
  <si>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</si>
  <si>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</si>
  <si>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</si>
  <si>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</si>
  <si>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</si>
  <si>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</si>
  <si>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</si>
  <si>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</si>
  <si>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</si>
  <si>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</si>
  <si>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</si>
  <si>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</si>
  <si>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</si>
  <si>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</si>
  <si>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</si>
  <si>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</si>
  <si>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</si>
  <si>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</si>
  <si>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</si>
  <si>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</si>
  <si>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</si>
  <si>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</si>
  <si>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</si>
  <si>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</si>
  <si>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</si>
  <si>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</si>
  <si>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</si>
  <si>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</si>
  <si>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</si>
  <si>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</si>
  <si>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</si>
  <si>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</si>
  <si>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</si>
  <si>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</si>
  <si>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</si>
  <si>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</si>
  <si>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</si>
  <si>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</si>
  <si>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</si>
  <si>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</si>
  <si>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</si>
  <si>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</si>
  <si>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</si>
  <si>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</si>
  <si>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</si>
  <si>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</si>
  <si>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</si>
  <si>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</si>
  <si>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</si>
  <si>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</si>
  <si>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</si>
  <si>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</si>
  <si>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</si>
  <si>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</si>
  <si>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</si>
  <si>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</si>
  <si>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</si>
  <si>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</si>
  <si>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</si>
  <si>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</si>
  <si>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</si>
  <si>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</si>
  <si>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</si>
  <si>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</si>
  <si>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</si>
  <si>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</si>
  <si>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</si>
  <si>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</si>
  <si>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</si>
  <si>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</si>
  <si>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</si>
  <si>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</si>
  <si>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</si>
  <si>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</si>
  <si>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</si>
  <si>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</si>
  <si>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</si>
  <si>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</si>
  <si>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</si>
  <si>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</si>
  <si>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</si>
  <si>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</si>
  <si>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</si>
  <si>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</si>
  <si>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</si>
  <si>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</si>
  <si>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</si>
  <si>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</si>
  <si>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</si>
  <si>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</si>
  <si>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</si>
  <si>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</si>
  <si>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</si>
  <si>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</si>
  <si>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</si>
  <si>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</si>
  <si>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</si>
  <si>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</si>
  <si>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</si>
  <si>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</si>
  <si>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</si>
  <si>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</si>
  <si>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</si>
  <si>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</si>
  <si>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</si>
  <si>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</si>
  <si>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</si>
  <si>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</si>
  <si>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</si>
  <si>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</si>
  <si>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</si>
  <si>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</si>
  <si>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</si>
  <si>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</si>
  <si>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</si>
  <si>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</si>
  <si>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</si>
  <si>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</si>
  <si>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</si>
  <si>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</si>
  <si>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</si>
  <si>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</si>
  <si>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</si>
  <si>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</si>
  <si>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</si>
  <si>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</si>
  <si>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</si>
  <si>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</si>
  <si>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</si>
  <si>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</si>
  <si>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</si>
  <si>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</si>
  <si>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</si>
  <si>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</si>
  <si>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</si>
  <si>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</si>
  <si>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</si>
  <si>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</si>
  <si>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</si>
  <si>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</si>
  <si>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</si>
  <si>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</si>
  <si>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</si>
  <si>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</si>
  <si>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</si>
  <si>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</si>
  <si>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</si>
  <si>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</si>
  <si>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</si>
  <si>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</si>
  <si>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</si>
  <si>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</si>
  <si>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</si>
  <si>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</si>
  <si>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</si>
  <si>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</si>
  <si>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</si>
  <si>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</si>
  <si>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</si>
  <si>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</si>
  <si>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</si>
  <si>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</si>
  <si>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</si>
  <si>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</si>
  <si>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</si>
  <si>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</si>
  <si>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</si>
  <si>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</si>
  <si>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</si>
  <si>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</si>
  <si>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</si>
  <si>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</si>
  <si>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</si>
  <si>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</si>
  <si>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</si>
  <si>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</si>
  <si>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</si>
  <si>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</si>
  <si>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</si>
  <si>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</si>
  <si>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</si>
  <si>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</si>
  <si>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</si>
  <si>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</si>
  <si>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</si>
  <si>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</si>
  <si>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</si>
  <si>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</si>
  <si>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</si>
  <si>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</si>
  <si>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</si>
  <si>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</si>
  <si>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</si>
  <si>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</si>
  <si>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</si>
  <si>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</si>
  <si>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</si>
  <si>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</si>
  <si>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</si>
  <si>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</si>
  <si>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</si>
  <si>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</si>
  <si>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</si>
  <si>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</si>
  <si>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</si>
  <si>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</si>
  <si>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</si>
  <si>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</si>
  <si>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</si>
  <si>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</si>
  <si>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</si>
  <si>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</si>
  <si>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</si>
  <si>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</si>
  <si>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</si>
  <si>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</si>
  <si>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</si>
  <si>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</si>
  <si>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</si>
  <si>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</si>
  <si>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</si>
  <si>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</si>
  <si>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</si>
  <si>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</si>
  <si>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</si>
  <si>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</si>
  <si>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</si>
  <si>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</si>
  <si>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</si>
  <si>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</si>
  <si>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</si>
  <si>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</si>
  <si>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</si>
  <si>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</si>
  <si>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</si>
  <si>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</si>
  <si>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</si>
  <si>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</si>
  <si>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</si>
  <si>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</si>
  <si>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</si>
  <si>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</si>
  <si>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</si>
  <si>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</si>
  <si>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</si>
  <si>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</si>
  <si>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</si>
  <si>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</si>
  <si>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</si>
  <si>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</si>
  <si>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</si>
  <si>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</si>
  <si>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</si>
  <si>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</si>
  <si>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</si>
  <si>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</si>
  <si>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</si>
  <si>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</si>
  <si>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</si>
  <si>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</si>
  <si>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</si>
  <si>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</si>
  <si>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</si>
  <si>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</si>
  <si>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</si>
  <si>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</si>
  <si>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</si>
  <si>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</si>
  <si>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</si>
  <si>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</si>
  <si>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</si>
  <si>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</si>
  <si>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</si>
  <si>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</si>
  <si>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</si>
  <si>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</si>
  <si>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</si>
  <si>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</si>
  <si>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</si>
  <si>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</si>
  <si>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</si>
  <si>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</si>
  <si>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</si>
  <si>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</si>
  <si>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</si>
  <si>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</si>
  <si>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</si>
  <si>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</si>
  <si>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</si>
  <si>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</si>
  <si>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</si>
  <si>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</si>
  <si>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</si>
  <si>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</si>
  <si>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</si>
  <si>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</si>
  <si>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</si>
  <si>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</si>
  <si>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</si>
  <si>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</si>
  <si>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</si>
  <si>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</si>
  <si>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</si>
  <si>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</si>
  <si>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</si>
  <si>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</si>
  <si>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</si>
  <si>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</si>
  <si>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</si>
  <si>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</si>
  <si>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</si>
  <si>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</si>
  <si>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</si>
  <si>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</si>
  <si>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</si>
  <si>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</si>
  <si>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</si>
  <si>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</si>
  <si>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</si>
  <si>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</si>
  <si>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</si>
  <si>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</si>
  <si>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</si>
  <si>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</si>
  <si>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</si>
  <si>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</si>
  <si>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</si>
  <si>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</si>
  <si>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</si>
  <si>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</si>
  <si>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</si>
  <si>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</si>
  <si>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</si>
  <si>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</si>
  <si>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</si>
  <si>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</si>
  <si>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</si>
  <si>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</si>
  <si>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</si>
  <si>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</si>
  <si>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</si>
  <si>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</si>
  <si>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</si>
  <si>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</si>
  <si>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</si>
  <si>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</si>
  <si>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</si>
  <si>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</si>
  <si>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</si>
  <si>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</si>
  <si>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</si>
  <si>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</si>
  <si>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</si>
  <si>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</si>
  <si>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</si>
  <si>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</si>
  <si>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</si>
  <si>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</si>
  <si>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</si>
  <si>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</si>
  <si>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</si>
  <si>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</si>
  <si>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</si>
  <si>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</si>
  <si>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</si>
  <si>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</si>
  <si>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</si>
  <si>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</si>
  <si>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</si>
  <si>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</si>
  <si>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</si>
  <si>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</si>
  <si>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</si>
  <si>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</si>
  <si>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</si>
  <si>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</si>
  <si>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</si>
  <si>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</si>
  <si>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</si>
  <si>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</si>
  <si>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</si>
  <si>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</si>
  <si>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</si>
  <si>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</si>
  <si>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</si>
  <si>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</si>
  <si>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</si>
  <si>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</si>
  <si>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</si>
  <si>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</si>
  <si>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</si>
  <si>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</si>
  <si>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</si>
  <si>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</si>
  <si>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</si>
  <si>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</si>
  <si>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</si>
  <si>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</si>
  <si>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</si>
  <si>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</si>
  <si>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</si>
  <si>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</si>
  <si>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</si>
  <si>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</si>
  <si>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</si>
  <si>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</si>
  <si>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</si>
  <si>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</si>
  <si>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</si>
  <si>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</si>
  <si>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</si>
  <si>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</si>
  <si>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</si>
  <si>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</si>
  <si>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</si>
  <si>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</si>
  <si>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</si>
  <si>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</si>
  <si>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</si>
  <si>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</si>
  <si>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</si>
  <si>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</si>
  <si>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</si>
  <si>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</si>
  <si>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</si>
  <si>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</si>
  <si>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</si>
  <si>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</si>
  <si>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</si>
  <si>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</si>
  <si>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</si>
  <si>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</si>
  <si>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</si>
  <si>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</si>
  <si>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</si>
  <si>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</si>
  <si>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</si>
  <si>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</si>
  <si>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</si>
  <si>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</si>
  <si>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</si>
  <si>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</si>
  <si>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</si>
  <si>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</si>
  <si>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</si>
  <si>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</si>
  <si>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</si>
  <si>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</si>
  <si>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</si>
  <si>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</si>
  <si>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</si>
  <si>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</si>
  <si>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</si>
  <si>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</si>
  <si>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</si>
  <si>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</si>
  <si>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</si>
  <si>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</si>
  <si>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</si>
  <si>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</si>
  <si>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</si>
  <si>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</si>
  <si>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</si>
  <si>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</si>
  <si>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</si>
  <si>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</si>
  <si>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</si>
  <si>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</si>
  <si>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</si>
  <si>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</si>
  <si>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</si>
  <si>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</si>
  <si>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</si>
  <si>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</si>
  <si>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</si>
  <si>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</si>
  <si>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</si>
  <si>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</si>
  <si>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</si>
  <si>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</si>
  <si>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</si>
  <si>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</si>
  <si>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</si>
  <si>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</si>
  <si>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</si>
  <si>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</si>
  <si>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</si>
  <si>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</si>
  <si>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</si>
  <si>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</si>
  <si>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</si>
  <si>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</si>
  <si>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</si>
  <si>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</si>
  <si>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</si>
  <si>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</si>
  <si>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</si>
  <si>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</si>
  <si>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</si>
  <si>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</si>
  <si>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</si>
  <si>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</si>
  <si>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</si>
  <si>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</si>
  <si>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</si>
  <si>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</si>
  <si>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</si>
  <si>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</si>
  <si>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</si>
  <si>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</si>
  <si>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</si>
  <si>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</si>
  <si>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</si>
  <si>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</si>
  <si>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</si>
  <si>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</si>
  <si>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</si>
  <si>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</si>
  <si>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</si>
  <si>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</si>
  <si>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</si>
  <si>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</si>
  <si>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</si>
  <si>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</si>
  <si>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</si>
  <si>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</si>
  <si>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</si>
  <si>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</si>
  <si>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</si>
  <si>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</si>
  <si>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</si>
  <si>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</si>
  <si>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</si>
  <si>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</si>
  <si>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</si>
  <si>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</si>
  <si>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</si>
  <si>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</si>
  <si>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</si>
  <si>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</si>
  <si>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</si>
  <si>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</si>
  <si>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</si>
  <si>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</si>
  <si>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</si>
  <si>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</si>
  <si>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</si>
  <si>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</si>
  <si>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</si>
  <si>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</si>
  <si>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</si>
  <si>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</si>
  <si>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</si>
  <si>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</si>
  <si>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</si>
  <si>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</si>
  <si>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</si>
  <si>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</si>
  <si>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</si>
  <si>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</si>
  <si>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</si>
  <si>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</si>
  <si>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</si>
  <si>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</si>
  <si>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</si>
  <si>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</si>
  <si>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</si>
  <si>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</si>
  <si>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</si>
  <si>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</si>
  <si>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</si>
  <si>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</si>
  <si>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</si>
  <si>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</si>
  <si>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</si>
  <si>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</si>
  <si>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</si>
  <si>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</si>
  <si>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</si>
  <si>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</si>
  <si>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</si>
  <si>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</si>
  <si>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</si>
  <si>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</si>
  <si>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</si>
  <si>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</si>
  <si>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</si>
  <si>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</si>
  <si>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</si>
  <si>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</si>
  <si>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</si>
  <si>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</si>
  <si>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</si>
  <si>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</si>
  <si>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</si>
  <si>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</si>
  <si>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</si>
  <si>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</si>
  <si>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</si>
  <si>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</si>
  <si>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</si>
  <si>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</si>
  <si>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</si>
  <si>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</si>
  <si>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</si>
  <si>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</si>
  <si>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</si>
  <si>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</si>
  <si>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</si>
  <si>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</si>
  <si>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</si>
  <si>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</si>
  <si>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</si>
  <si>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</si>
  <si>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</si>
  <si>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</si>
  <si>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</si>
  <si>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</si>
  <si>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</si>
  <si>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</si>
  <si>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</si>
  <si>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</si>
  <si>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</si>
  <si>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</si>
  <si>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</si>
  <si>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</si>
  <si>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</si>
  <si>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</si>
  <si>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</si>
  <si>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</si>
  <si>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</si>
  <si>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</si>
  <si>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</si>
  <si>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</si>
  <si>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</si>
  <si>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</si>
  <si>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</si>
  <si>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</si>
  <si>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</si>
  <si>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</si>
  <si>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</si>
  <si>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</si>
  <si>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</si>
  <si>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</si>
  <si>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</si>
  <si>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</si>
  <si>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</si>
  <si>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</si>
  <si>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</si>
  <si>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</si>
  <si>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</si>
  <si>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</si>
  <si>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</si>
  <si>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</si>
  <si>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</si>
  <si>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</si>
  <si>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</si>
  <si>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</si>
  <si>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</si>
  <si>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</si>
  <si>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</si>
  <si>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</si>
  <si>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</si>
  <si>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</si>
  <si>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</si>
  <si>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</si>
  <si>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</si>
  <si>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</si>
  <si>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</si>
  <si>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</si>
  <si>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</si>
  <si>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</si>
  <si>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</si>
  <si>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</si>
  <si>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</si>
  <si>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</si>
  <si>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</si>
  <si>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</si>
  <si>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</si>
  <si>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</si>
  <si>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</si>
  <si>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</si>
  <si>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</si>
  <si>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</si>
  <si>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</si>
  <si>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</si>
  <si>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</si>
  <si>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</si>
  <si>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</si>
  <si>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</si>
  <si>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</si>
  <si>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</si>
  <si>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</si>
  <si>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</si>
  <si>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</si>
  <si>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</si>
  <si>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</si>
  <si>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</si>
  <si>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</si>
  <si>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</si>
  <si>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</si>
  <si>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</si>
  <si>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</si>
  <si>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</si>
  <si>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</si>
  <si>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</si>
  <si>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</si>
  <si>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</si>
  <si>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</si>
  <si>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</si>
  <si>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</si>
  <si>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</si>
  <si>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</si>
  <si>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</si>
  <si>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</si>
  <si>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</si>
  <si>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</si>
  <si>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</si>
  <si>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</si>
  <si>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</si>
  <si>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</si>
  <si>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</si>
  <si>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</si>
  <si>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</si>
  <si>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</si>
  <si>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</si>
  <si>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</si>
  <si>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</si>
  <si>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</si>
  <si>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</si>
  <si>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</si>
  <si>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</si>
  <si>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</si>
  <si>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</si>
  <si>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</si>
  <si>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</si>
  <si>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</si>
  <si>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</si>
  <si>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</si>
  <si>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</si>
  <si>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</si>
  <si>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</si>
  <si>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</si>
  <si>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</si>
  <si>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</si>
  <si>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</si>
  <si>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</si>
  <si>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</si>
  <si>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</si>
  <si>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</si>
  <si>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</si>
  <si>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</si>
  <si>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</si>
  <si>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</si>
  <si>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</si>
  <si>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</si>
  <si>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</si>
  <si>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</si>
  <si>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</si>
  <si>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</si>
  <si>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</si>
  <si>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</si>
  <si>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</si>
  <si>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</si>
  <si>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</si>
  <si>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</si>
  <si>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</si>
  <si>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</si>
  <si>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</si>
  <si>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</si>
  <si>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</si>
  <si>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</si>
  <si>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</si>
  <si>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</si>
  <si>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</si>
  <si>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</si>
  <si>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</si>
  <si>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</si>
  <si>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</si>
  <si>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</si>
  <si>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</si>
  <si>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</si>
  <si>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</si>
  <si>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</si>
  <si>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</si>
  <si>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</si>
  <si>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</si>
  <si>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</si>
  <si>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</si>
  <si>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</si>
  <si>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</si>
  <si>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</si>
  <si>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</si>
  <si>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</si>
  <si>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</si>
  <si>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</si>
  <si>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</si>
  <si>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</si>
  <si>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</si>
  <si>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</si>
  <si>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</si>
  <si>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</si>
  <si>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</si>
  <si>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</si>
  <si>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</si>
  <si>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</si>
  <si>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</si>
  <si>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</si>
  <si>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</si>
  <si>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</si>
  <si>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</si>
  <si>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</si>
  <si>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</si>
  <si>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</si>
  <si>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</si>
  <si>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</si>
  <si>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</si>
  <si>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</si>
  <si>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</si>
  <si>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</si>
  <si>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</si>
  <si>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</si>
  <si>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</si>
  <si>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</si>
  <si>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</si>
  <si>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</si>
  <si>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</si>
  <si>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</si>
  <si>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</si>
  <si>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</si>
  <si>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</si>
  <si>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</si>
  <si>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</si>
  <si>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</si>
  <si>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</si>
  <si>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</si>
  <si>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</si>
  <si>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</si>
  <si>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</si>
  <si>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</si>
  <si>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</si>
  <si>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</si>
  <si>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</si>
  <si>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</si>
  <si>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</si>
  <si>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</si>
  <si>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</si>
  <si>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</si>
  <si>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</si>
  <si>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</si>
  <si>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</si>
  <si>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</si>
  <si>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</si>
  <si>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</si>
  <si>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</si>
  <si>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</si>
  <si>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</si>
  <si>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</si>
  <si>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</si>
  <si>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</si>
  <si>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</si>
  <si>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</si>
  <si>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</si>
  <si>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</si>
  <si>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</si>
  <si>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</si>
  <si>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</si>
  <si>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</si>
  <si>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</si>
  <si>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</si>
  <si>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</si>
  <si>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</si>
  <si>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</si>
  <si>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</si>
  <si>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</si>
  <si>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</si>
  <si>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</si>
  <si>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</si>
  <si>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</si>
  <si>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</si>
  <si>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</si>
  <si>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</si>
  <si>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</si>
  <si>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</si>
  <si>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</si>
  <si>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</si>
  <si>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</si>
  <si>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</si>
  <si>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</si>
  <si>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</si>
  <si>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</si>
  <si>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</si>
  <si>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</si>
  <si>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</si>
  <si>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</si>
  <si>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</si>
  <si>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</si>
  <si>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</si>
  <si>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</si>
  <si>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</si>
  <si>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</si>
  <si>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</si>
  <si>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</si>
  <si>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</si>
  <si>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</si>
  <si>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</si>
  <si>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</si>
  <si>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</si>
  <si>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</si>
  <si>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</si>
  <si>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</si>
  <si>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</si>
  <si>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</si>
  <si>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</si>
  <si>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</si>
  <si>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</si>
  <si>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</si>
  <si>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</si>
  <si>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</si>
  <si>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</si>
  <si>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</si>
  <si>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</si>
  <si>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</si>
  <si>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</si>
  <si>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</si>
  <si>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</si>
  <si>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</si>
  <si>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</si>
  <si>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</si>
  <si>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</si>
  <si>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</si>
  <si>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</si>
  <si>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</si>
  <si>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</si>
  <si>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</si>
  <si>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</si>
  <si>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</si>
  <si>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</si>
  <si>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</si>
  <si>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</si>
  <si>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</si>
  <si>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</si>
  <si>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</si>
  <si>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</si>
  <si>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</si>
  <si>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</si>
  <si>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</si>
  <si>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</si>
  <si>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</si>
  <si>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</si>
  <si>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</si>
  <si>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</si>
  <si>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</si>
  <si>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</si>
  <si>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</si>
  <si>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</si>
  <si>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</si>
  <si>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</si>
  <si>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</si>
  <si>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</si>
  <si>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</si>
  <si>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</si>
  <si>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</si>
  <si>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</si>
  <si>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</si>
  <si>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</si>
  <si>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</si>
  <si>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</si>
  <si>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</si>
  <si>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</si>
  <si>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</si>
  <si>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</si>
  <si>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</si>
  <si>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</si>
  <si>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</si>
  <si>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</si>
  <si>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</si>
  <si>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</si>
  <si>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</si>
  <si>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</si>
  <si>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</si>
  <si>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</si>
  <si>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</si>
  <si>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</si>
  <si>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</si>
  <si>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</si>
  <si>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</si>
  <si>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</si>
  <si>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</si>
  <si>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</si>
  <si>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</si>
  <si>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</si>
  <si>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</si>
  <si>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</si>
  <si>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</si>
  <si>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</si>
  <si>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</si>
  <si>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</si>
  <si>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</si>
  <si>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</si>
  <si>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</si>
  <si>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</si>
  <si>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</si>
  <si>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</si>
  <si>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</si>
  <si>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</si>
  <si>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</si>
  <si>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</si>
  <si>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</si>
  <si>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</si>
  <si>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</si>
  <si>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</si>
  <si>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</si>
  <si>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</si>
  <si>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</si>
  <si>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</si>
  <si>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</si>
  <si>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</si>
  <si>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</si>
  <si>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</si>
  <si>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</si>
  <si>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</si>
  <si>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</si>
  <si>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</si>
  <si>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</si>
  <si>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</si>
  <si>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</si>
  <si>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</si>
  <si>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</si>
  <si>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</si>
  <si>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</si>
  <si>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</si>
  <si>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</si>
  <si>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</si>
  <si>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</si>
  <si>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</si>
  <si>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</si>
  <si>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</si>
  <si>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</si>
  <si>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</si>
  <si>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</si>
  <si>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</si>
  <si>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</si>
  <si>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</si>
  <si>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</si>
  <si>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</si>
  <si>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</si>
  <si>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</si>
  <si>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</si>
  <si>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</si>
  <si>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</si>
  <si>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</si>
  <si>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</si>
  <si>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</si>
  <si>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</si>
  <si>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</si>
  <si>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</si>
  <si>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</si>
  <si>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</si>
  <si>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</si>
  <si>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</si>
  <si>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</si>
  <si>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</si>
  <si>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</si>
  <si>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</si>
  <si>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</si>
  <si>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</si>
  <si>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</si>
  <si>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</si>
  <si>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</si>
  <si>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</si>
  <si>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</si>
  <si>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</si>
  <si>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</si>
  <si>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</si>
  <si>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</si>
  <si>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</si>
  <si>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</si>
  <si>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</si>
  <si>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</si>
  <si>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</si>
  <si>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</si>
  <si>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</si>
  <si>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</si>
  <si>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</si>
  <si>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</si>
  <si>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</si>
  <si>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</si>
  <si>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</si>
  <si>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</si>
  <si>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</si>
  <si>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</si>
  <si>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</si>
  <si>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</si>
  <si>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</si>
  <si>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</si>
  <si>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</si>
  <si>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</si>
  <si>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</si>
  <si>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</si>
  <si>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</si>
  <si>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</si>
  <si>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</si>
  <si>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</si>
  <si>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</si>
  <si>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</si>
  <si>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</si>
  <si>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</si>
  <si>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</si>
  <si>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</si>
  <si>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</si>
  <si>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</si>
  <si>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</si>
  <si>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</si>
  <si>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</si>
  <si>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</si>
  <si>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</si>
  <si>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</si>
  <si>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</si>
  <si>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</si>
  <si>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</si>
  <si>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</si>
  <si>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</si>
  <si>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</si>
  <si>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</si>
  <si>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</si>
  <si>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</si>
  <si>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</si>
  <si>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</si>
  <si>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</si>
  <si>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</si>
  <si>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</si>
  <si>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</si>
  <si>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</si>
  <si>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</si>
  <si>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</si>
  <si>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</si>
  <si>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</si>
  <si>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</si>
  <si>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</si>
  <si>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</si>
  <si>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</si>
  <si>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</si>
  <si>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</si>
  <si>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</si>
  <si>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</si>
  <si>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</si>
  <si>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</si>
  <si>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</si>
  <si>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</si>
  <si>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</si>
  <si>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</si>
  <si>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</si>
  <si>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</si>
  <si>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</si>
  <si>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</si>
  <si>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</si>
  <si>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</si>
  <si>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</si>
  <si>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</si>
  <si>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</si>
  <si>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</si>
  <si>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</si>
  <si>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</si>
  <si>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</si>
  <si>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</si>
  <si>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</si>
  <si>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</si>
  <si>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</si>
  <si>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</si>
  <si>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</si>
  <si>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</si>
  <si>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</si>
  <si>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</si>
  <si>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</si>
  <si>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</si>
  <si>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</si>
  <si>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</si>
  <si>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</si>
  <si>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</si>
  <si>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</si>
  <si>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</si>
  <si>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</si>
  <si>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</si>
  <si>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</si>
  <si>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</si>
  <si>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</si>
  <si>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</si>
  <si>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</si>
  <si>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</si>
  <si>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</si>
  <si>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</si>
  <si>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</si>
  <si>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</si>
  <si>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</si>
  <si>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</si>
  <si>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</si>
  <si>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</si>
  <si>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</si>
  <si>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</si>
  <si>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</si>
  <si>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</si>
  <si>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</si>
  <si>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</si>
  <si>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</si>
  <si>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</si>
  <si>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</si>
  <si>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</si>
  <si>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</si>
  <si>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</si>
  <si>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</si>
  <si>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</si>
  <si>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</si>
  <si>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</si>
  <si>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</si>
  <si>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</si>
  <si>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</si>
  <si>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</si>
  <si>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</si>
  <si>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</si>
  <si>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</si>
  <si>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</si>
  <si>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</si>
  <si>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</si>
  <si>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</si>
  <si>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</si>
  <si>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</si>
  <si>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</si>
  <si>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</si>
  <si>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</si>
  <si>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</si>
  <si>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</si>
  <si>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</si>
  <si>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</si>
  <si>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</si>
  <si>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</si>
  <si>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</si>
  <si>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</si>
  <si>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</si>
  <si>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</si>
  <si>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</si>
  <si>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</si>
  <si>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</si>
  <si>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</si>
  <si>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</si>
  <si>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</si>
  <si>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</si>
  <si>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</si>
  <si>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</si>
  <si>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</si>
  <si>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</si>
  <si>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</si>
  <si>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</si>
  <si>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</si>
  <si>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</si>
  <si>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</si>
  <si>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</si>
  <si>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</si>
  <si>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</si>
  <si>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</si>
  <si>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</si>
  <si>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</si>
  <si>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</si>
  <si>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</si>
  <si>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</si>
  <si>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</si>
  <si>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</si>
  <si>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</si>
  <si>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</si>
  <si>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</si>
  <si>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</si>
  <si>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</si>
  <si>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</si>
  <si>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</si>
  <si>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</si>
  <si>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</si>
  <si>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</si>
  <si>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</si>
  <si>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</si>
  <si>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</si>
  <si>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</si>
  <si>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</si>
  <si>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</si>
  <si>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</si>
  <si>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</si>
  <si>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</si>
  <si>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</si>
  <si>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</si>
  <si>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</si>
  <si>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</si>
  <si>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</si>
  <si>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</si>
  <si>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</si>
  <si>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</si>
  <si>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</si>
  <si>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</si>
  <si>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</si>
  <si>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</si>
  <si>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</si>
  <si>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</si>
  <si>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</si>
  <si>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</si>
  <si>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</si>
  <si>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</si>
  <si>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</si>
  <si>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</si>
  <si>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</si>
  <si>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</si>
  <si>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</si>
  <si>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</si>
  <si>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</si>
  <si>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</si>
  <si>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</si>
  <si>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</si>
  <si>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</si>
  <si>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</si>
  <si>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</si>
  <si>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</si>
  <si>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</si>
  <si>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</si>
  <si>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</si>
  <si>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</si>
  <si>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</si>
  <si>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</si>
  <si>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</si>
  <si>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</si>
  <si>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</si>
  <si>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</si>
  <si>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</si>
  <si>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</si>
  <si>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</si>
  <si>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</si>
  <si>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</si>
  <si>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</si>
  <si>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</si>
  <si>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</si>
  <si>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</si>
  <si>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</si>
  <si>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</si>
  <si>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</si>
  <si>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</si>
  <si>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</si>
  <si>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</si>
  <si>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</si>
  <si>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</si>
  <si>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</si>
  <si>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</si>
  <si>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</si>
  <si>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</si>
  <si>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</si>
  <si>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</si>
  <si>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</si>
  <si>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</si>
  <si>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</si>
  <si>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</si>
  <si>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</si>
  <si>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</si>
  <si>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</si>
  <si>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</si>
  <si>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</si>
  <si>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</si>
  <si>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</si>
  <si>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</si>
  <si>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</si>
  <si>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</si>
  <si>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</si>
  <si>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</si>
  <si>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</si>
  <si>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</si>
  <si>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</si>
  <si>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</si>
  <si>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</si>
  <si>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</si>
  <si>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</si>
  <si>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</si>
  <si>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</si>
  <si>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</si>
  <si>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</si>
  <si>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</si>
  <si>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</si>
  <si>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</si>
  <si>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</si>
  <si>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</si>
  <si>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</si>
  <si>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</si>
  <si>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</si>
  <si>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</si>
  <si>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</si>
  <si>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</si>
  <si>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</si>
  <si>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</si>
  <si>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</si>
  <si>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</si>
  <si>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</si>
  <si>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</si>
  <si>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</si>
  <si>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</si>
  <si>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</si>
  <si>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</si>
  <si>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</si>
  <si>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</si>
  <si>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</si>
  <si>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</si>
  <si>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</si>
  <si>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</si>
  <si>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</si>
  <si>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</si>
  <si>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</si>
  <si>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</si>
  <si>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</si>
  <si>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</si>
  <si>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</si>
  <si>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</si>
  <si>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</si>
  <si>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</si>
  <si>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</si>
  <si>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</si>
  <si>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</si>
  <si>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</si>
  <si>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</si>
  <si>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</si>
  <si>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</si>
  <si>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</si>
  <si>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</si>
  <si>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</si>
  <si>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</si>
  <si>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</si>
  <si>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</si>
  <si>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</si>
  <si>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</si>
  <si>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</si>
  <si>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</si>
  <si>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</si>
  <si>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</si>
  <si>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</si>
  <si>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</si>
  <si>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</si>
  <si>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</si>
  <si>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</si>
  <si>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</si>
  <si>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</si>
  <si>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</si>
  <si>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</si>
  <si>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</si>
  <si>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</si>
  <si>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</si>
  <si>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</si>
  <si>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</si>
  <si>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</si>
  <si>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</si>
  <si>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</si>
  <si>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</si>
  <si>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</si>
  <si>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</si>
  <si>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</si>
  <si>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</si>
  <si>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</si>
  <si>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</si>
  <si>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</si>
  <si>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</si>
  <si>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</si>
  <si>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</si>
  <si>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</si>
  <si>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</si>
  <si>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</si>
  <si>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</si>
  <si>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</si>
  <si>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</si>
  <si>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</si>
  <si>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</si>
  <si>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</si>
  <si>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</si>
  <si>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</si>
  <si>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</si>
  <si>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</si>
  <si>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</si>
  <si>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</si>
  <si>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</si>
  <si>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</si>
  <si>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</si>
  <si>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</si>
  <si>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</si>
  <si>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</si>
  <si>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</si>
  <si>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</si>
  <si>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</si>
  <si>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</si>
  <si>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</si>
  <si>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</si>
  <si>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</si>
  <si>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</si>
  <si>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</si>
  <si>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</si>
  <si>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</si>
  <si>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</si>
  <si>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</si>
  <si>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</si>
  <si>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</si>
  <si>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</si>
  <si>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</si>
  <si>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</si>
  <si>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</si>
  <si>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</si>
  <si>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</si>
  <si>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</si>
  <si>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</si>
  <si>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</si>
  <si>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</si>
  <si>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</si>
  <si>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</si>
  <si>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</si>
  <si>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</si>
  <si>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</si>
  <si>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</si>
  <si>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</si>
  <si>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</si>
  <si>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</si>
  <si>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</si>
  <si>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</si>
  <si>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</si>
  <si>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</si>
  <si>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</si>
  <si>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</si>
  <si>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</si>
  <si>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</si>
  <si>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</si>
  <si>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</si>
  <si>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</si>
  <si>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</si>
  <si>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</si>
  <si>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</si>
  <si>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</si>
  <si>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</si>
  <si>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</si>
  <si>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</si>
  <si>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</si>
  <si>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</si>
  <si>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</si>
  <si>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</si>
  <si>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</si>
  <si>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</si>
  <si>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</si>
  <si>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</si>
  <si>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</si>
  <si>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</si>
  <si>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</si>
  <si>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</si>
  <si>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</si>
  <si>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</si>
  <si>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</si>
  <si>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</si>
  <si>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</si>
  <si>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</si>
  <si>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</si>
  <si>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</si>
  <si>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</si>
  <si>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</si>
  <si>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</si>
  <si>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</si>
  <si>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</si>
  <si>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</si>
  <si>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</si>
  <si>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</si>
  <si>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</si>
  <si>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</si>
  <si>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</si>
  <si>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</si>
  <si>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</si>
  <si>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</si>
  <si>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</si>
  <si>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</si>
  <si>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</si>
  <si>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</si>
  <si>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</si>
  <si>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</si>
  <si>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</si>
  <si>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</si>
  <si>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</si>
  <si>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</si>
  <si>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</si>
  <si>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</si>
  <si>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</si>
  <si>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</si>
  <si>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</si>
  <si>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</si>
  <si>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</si>
  <si>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</si>
  <si>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</si>
  <si>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</si>
  <si>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</si>
  <si>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</si>
  <si>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</si>
  <si>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</si>
  <si>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</si>
  <si>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</si>
  <si>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</si>
  <si>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</si>
  <si>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</si>
  <si>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</si>
  <si>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</si>
  <si>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</si>
  <si>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</si>
  <si>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</si>
  <si>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</si>
  <si>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</si>
  <si>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</si>
  <si>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</si>
  <si>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</si>
  <si>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</si>
  <si>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</si>
  <si>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</si>
  <si>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</si>
  <si>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</si>
  <si>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</si>
  <si>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</si>
  <si>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</si>
  <si>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</si>
  <si>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</si>
  <si>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</si>
  <si>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</si>
  <si>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</si>
  <si>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</si>
  <si>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</si>
  <si>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</si>
  <si>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</si>
  <si>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</si>
  <si>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</si>
  <si>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</si>
  <si>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</si>
  <si>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</si>
  <si>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</si>
  <si>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</si>
  <si>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</si>
  <si>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</si>
  <si>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</si>
  <si>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</si>
  <si>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</si>
  <si>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</si>
  <si>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</si>
  <si>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</si>
  <si>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</si>
  <si>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</si>
  <si>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</si>
  <si>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</si>
  <si>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</si>
  <si>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</si>
  <si>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</si>
  <si>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</si>
  <si>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</si>
  <si>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</si>
  <si>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</si>
  <si>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</si>
  <si>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</si>
  <si>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</si>
  <si>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</si>
  <si>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</si>
  <si>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</si>
  <si>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</si>
  <si>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</si>
  <si>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</si>
  <si>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</si>
  <si>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</si>
  <si>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</si>
  <si>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</si>
  <si>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</si>
  <si>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</si>
  <si>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</si>
  <si>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</si>
  <si>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</si>
  <si>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</si>
  <si>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</si>
  <si>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</si>
  <si>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</si>
  <si>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</si>
  <si>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</si>
  <si>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</si>
  <si>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</si>
  <si>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</si>
  <si>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</si>
  <si>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</si>
  <si>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</si>
  <si>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</si>
  <si>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</si>
  <si>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</si>
  <si>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</si>
  <si>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</si>
  <si>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</si>
  <si>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</si>
  <si>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</si>
  <si>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</si>
  <si>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</si>
  <si>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</si>
  <si>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</si>
  <si>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</si>
  <si>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</si>
  <si>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</si>
  <si>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</si>
  <si>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</si>
  <si>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</si>
  <si>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</si>
  <si>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</si>
  <si>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</si>
  <si>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</si>
  <si>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</si>
  <si>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</si>
  <si>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</si>
  <si>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</si>
  <si>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</si>
  <si>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</si>
  <si>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</si>
  <si>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</si>
  <si>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</si>
  <si>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</si>
  <si>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</si>
  <si>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</si>
  <si>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</si>
  <si>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</si>
  <si>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</si>
  <si>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</si>
  <si>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</si>
  <si>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</si>
  <si>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</si>
  <si>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</si>
  <si>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</si>
  <si>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</si>
  <si>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</si>
  <si>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</si>
  <si>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</si>
  <si>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</si>
  <si>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</si>
  <si>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</si>
  <si>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</si>
  <si>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</si>
  <si>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</si>
  <si>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</si>
  <si>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</si>
  <si>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</si>
  <si>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</si>
  <si>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</si>
  <si>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</si>
  <si>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</si>
  <si>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</si>
  <si>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</si>
  <si>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</si>
  <si>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</si>
  <si>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</si>
  <si>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</si>
  <si>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</si>
  <si>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</si>
  <si>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</si>
  <si>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</si>
  <si>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</si>
  <si>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</si>
  <si>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</si>
  <si>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</si>
  <si>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</si>
  <si>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</si>
  <si>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</si>
  <si>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</si>
  <si>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</si>
  <si>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</si>
  <si>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</si>
  <si>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</si>
  <si>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</si>
  <si>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</si>
  <si>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</si>
  <si>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</si>
  <si>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</si>
  <si>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</si>
  <si>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</si>
  <si>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</si>
  <si>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</si>
  <si>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</si>
  <si>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</si>
  <si>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</si>
  <si>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</si>
  <si>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</si>
  <si>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</si>
  <si>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</si>
  <si>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</si>
  <si>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</si>
  <si>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</si>
  <si>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</si>
  <si>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</si>
  <si>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</si>
  <si>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</si>
  <si>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</si>
  <si>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</si>
  <si>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</si>
  <si>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</si>
  <si>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</si>
  <si>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</si>
  <si>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</si>
  <si>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</si>
  <si>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</si>
  <si>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</si>
  <si>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</si>
  <si>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</si>
  <si>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</si>
  <si>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</si>
  <si>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</si>
  <si>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</si>
  <si>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</si>
  <si>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</si>
  <si>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</si>
  <si>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</si>
  <si>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</si>
  <si>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</si>
  <si>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</si>
  <si>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</si>
  <si>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</si>
  <si>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</si>
  <si>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</si>
  <si>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</si>
  <si>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</si>
  <si>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</si>
  <si>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</si>
  <si>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</si>
  <si>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</si>
  <si>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</si>
  <si>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</si>
  <si>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</si>
  <si>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</si>
  <si>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</si>
  <si>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</si>
  <si>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</si>
  <si>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</si>
  <si>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</si>
  <si>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</si>
  <si>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</si>
  <si>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</si>
  <si>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</si>
  <si>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</si>
  <si>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</si>
  <si>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</si>
  <si>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</si>
  <si>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</si>
  <si>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</si>
  <si>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</si>
  <si>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</si>
  <si>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</si>
  <si>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</si>
  <si>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</si>
  <si>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</si>
  <si>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</si>
  <si>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</si>
  <si>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</si>
  <si>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</si>
  <si>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</si>
  <si>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</si>
  <si>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</si>
  <si>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</si>
  <si>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</si>
  <si>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</si>
  <si>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</si>
  <si>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</si>
  <si>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</si>
  <si>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</si>
  <si>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</si>
  <si>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</si>
  <si>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</si>
  <si>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</si>
  <si>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</si>
  <si>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</si>
  <si>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</si>
  <si>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</si>
  <si>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</si>
  <si>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</si>
  <si>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</si>
  <si>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</si>
  <si>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</si>
  <si>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</si>
  <si>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</si>
  <si>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</si>
  <si>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</si>
  <si>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</si>
  <si>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</si>
  <si>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</si>
  <si>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</si>
  <si>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</si>
  <si>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</si>
  <si>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</si>
  <si>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</si>
  <si>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</si>
  <si>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</si>
  <si>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</si>
  <si>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</si>
  <si>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</si>
  <si>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</si>
  <si>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</si>
  <si>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</si>
  <si>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</si>
  <si>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</si>
  <si>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</si>
  <si>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</si>
  <si>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</si>
  <si>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</si>
  <si>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</si>
  <si>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</si>
  <si>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</si>
  <si>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</si>
  <si>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</si>
  <si>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</si>
  <si>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</si>
  <si>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</si>
  <si>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</si>
  <si>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</si>
  <si>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</si>
  <si>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</si>
  <si>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</si>
  <si>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</si>
  <si>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</si>
  <si>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</si>
  <si>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</si>
  <si>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</si>
  <si>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</si>
  <si>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</si>
  <si>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</si>
  <si>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</si>
  <si>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</si>
  <si>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</si>
  <si>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</si>
  <si>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</si>
  <si>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</si>
  <si>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</si>
  <si>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</si>
  <si>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</si>
  <si>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</si>
  <si>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</si>
  <si>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</si>
  <si>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</si>
  <si>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</si>
  <si>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</si>
  <si>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</si>
  <si>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</si>
  <si>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</si>
  <si>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</si>
  <si>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</si>
  <si>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</si>
  <si>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</si>
  <si>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</si>
  <si>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</si>
  <si>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</si>
  <si>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</si>
  <si>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</si>
  <si>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</si>
  <si>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</si>
  <si>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</si>
  <si>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</si>
  <si>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</si>
  <si>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</si>
  <si>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</si>
  <si>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</si>
  <si>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</si>
  <si>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</si>
  <si>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</si>
  <si>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</si>
  <si>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</si>
  <si>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</si>
  <si>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</si>
  <si>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</si>
  <si>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</si>
  <si>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</si>
  <si>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</si>
  <si>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</si>
  <si>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</si>
  <si>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</si>
  <si>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</si>
  <si>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</si>
  <si>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</si>
  <si>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</si>
  <si>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</si>
  <si>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</si>
  <si>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</si>
  <si>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</si>
  <si>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</si>
  <si>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</si>
  <si>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</si>
  <si>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</si>
  <si>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</si>
  <si>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</si>
  <si>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</si>
  <si>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</si>
  <si>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</si>
  <si>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</si>
  <si>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</si>
  <si>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</si>
  <si>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</si>
  <si>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</si>
  <si>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</si>
  <si>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</si>
  <si>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</si>
  <si>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</si>
  <si>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</si>
  <si>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</si>
  <si>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</si>
  <si>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</si>
  <si>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</si>
  <si>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</si>
  <si>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</si>
  <si>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</si>
  <si>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</si>
  <si>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</si>
  <si>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</si>
  <si>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</si>
  <si>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</si>
  <si>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</si>
  <si>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</si>
  <si>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</si>
  <si>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</si>
  <si>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</si>
  <si>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</si>
  <si>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</si>
  <si>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</si>
  <si>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</si>
  <si>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</si>
  <si>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</si>
  <si>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</si>
  <si>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</si>
  <si>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</si>
  <si>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</si>
  <si>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</si>
  <si>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</si>
  <si>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</si>
  <si>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</si>
  <si>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</si>
  <si>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</si>
  <si>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</si>
  <si>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</si>
  <si>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</si>
  <si>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</si>
  <si>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</si>
  <si>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</si>
  <si>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</si>
  <si>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</si>
  <si>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</si>
  <si>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</si>
  <si>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</si>
  <si>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</si>
  <si>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</si>
  <si>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</si>
  <si>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</si>
  <si>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</si>
  <si>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</si>
  <si>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</si>
  <si>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</si>
  <si>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</si>
  <si>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</si>
  <si>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</si>
  <si>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</si>
  <si>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</si>
  <si>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</si>
  <si>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</si>
  <si>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</si>
  <si>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</si>
  <si>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</si>
  <si>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</si>
  <si>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</si>
  <si>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</si>
  <si>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</si>
  <si>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</si>
  <si>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</si>
  <si>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</si>
  <si>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</si>
  <si>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</si>
  <si>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</si>
  <si>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</si>
  <si>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</si>
  <si>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</si>
  <si>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</si>
  <si>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</si>
  <si>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</si>
  <si>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</si>
  <si>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</si>
  <si>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</si>
  <si>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</si>
  <si>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</si>
  <si>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</si>
  <si>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</si>
  <si>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</si>
  <si>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</si>
  <si>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</si>
  <si>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</si>
  <si>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</si>
  <si>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</si>
  <si>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</si>
  <si>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</si>
  <si>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</si>
  <si>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</si>
  <si>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</si>
  <si>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</si>
  <si>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</si>
  <si>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</si>
  <si>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</si>
  <si>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</si>
  <si>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</si>
  <si>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</si>
  <si>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</si>
  <si>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</si>
  <si>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</si>
  <si>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</si>
  <si>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</si>
  <si>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</si>
  <si>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</si>
  <si>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</si>
  <si>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</si>
  <si>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</si>
  <si>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</si>
  <si>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</si>
  <si>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</si>
  <si>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</si>
  <si>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</si>
  <si>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</si>
  <si>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</si>
  <si>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</si>
  <si>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</si>
  <si>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</si>
  <si>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</si>
  <si>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</si>
  <si>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</si>
  <si>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</si>
  <si>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</si>
  <si>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</si>
  <si>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</si>
  <si>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</si>
  <si>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</si>
  <si>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</si>
  <si>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</si>
  <si>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</si>
  <si>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</si>
  <si>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</si>
  <si>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</si>
  <si>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</si>
  <si>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</si>
  <si>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</si>
  <si>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</si>
  <si>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</si>
  <si>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</si>
  <si>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</si>
  <si>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</si>
  <si>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</si>
  <si>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</si>
  <si>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</si>
  <si>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</si>
  <si>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</si>
  <si>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</si>
  <si>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</si>
  <si>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</si>
  <si>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</si>
  <si>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</si>
  <si>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</si>
  <si>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</si>
  <si>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</si>
  <si>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</si>
  <si>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</si>
  <si>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</si>
  <si>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</si>
  <si>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</si>
  <si>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</si>
  <si>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</si>
  <si>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</si>
  <si>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</si>
  <si>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</si>
  <si>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</si>
  <si>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</si>
  <si>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</si>
  <si>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</si>
  <si>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</si>
  <si>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</si>
  <si>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</si>
  <si>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</si>
  <si>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</si>
  <si>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</si>
  <si>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</si>
  <si>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</si>
  <si>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</si>
  <si>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</si>
  <si>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</si>
  <si>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</si>
  <si>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</si>
  <si>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</si>
  <si>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</si>
  <si>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</si>
  <si>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</si>
  <si>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</si>
  <si>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</si>
  <si>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</si>
  <si>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</si>
  <si>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</si>
  <si>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</si>
  <si>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</si>
  <si>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</si>
  <si>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</si>
  <si>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</si>
  <si>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</si>
  <si>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</si>
  <si>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</si>
  <si>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</si>
  <si>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</si>
  <si>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</si>
  <si>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</si>
  <si>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</si>
  <si>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</si>
  <si>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</si>
  <si>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</si>
  <si>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</si>
  <si>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</si>
  <si>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</si>
  <si>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</si>
  <si>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</si>
  <si>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</si>
  <si>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</si>
  <si>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</si>
  <si>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</si>
  <si>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</si>
  <si>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</si>
  <si>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</si>
  <si>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</si>
  <si>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</si>
  <si>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</si>
  <si>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</si>
  <si>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</si>
  <si>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</si>
  <si>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</si>
  <si>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</si>
  <si>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</si>
  <si>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</si>
  <si>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</si>
  <si>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</si>
  <si>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</si>
  <si>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</si>
  <si>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</si>
  <si>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</si>
  <si>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</si>
  <si>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</si>
  <si>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</si>
  <si>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</si>
  <si>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</si>
  <si>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</si>
  <si>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</si>
  <si>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</si>
  <si>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</si>
  <si>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</si>
  <si>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</si>
  <si>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</si>
  <si>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</si>
  <si>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</si>
  <si>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</si>
  <si>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</si>
  <si>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</si>
  <si>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</si>
  <si>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</si>
  <si>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</si>
  <si>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</si>
  <si>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</si>
  <si>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</si>
  <si>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</si>
  <si>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</si>
  <si>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</si>
  <si>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</si>
  <si>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</si>
  <si>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</si>
  <si>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</si>
  <si>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</si>
  <si>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</si>
  <si>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</si>
  <si>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</si>
  <si>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</si>
  <si>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</si>
  <si>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</si>
  <si>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</si>
  <si>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</si>
  <si>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</si>
  <si>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</si>
  <si>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</si>
  <si>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</si>
  <si>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</si>
  <si>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</si>
  <si>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</si>
  <si>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</si>
  <si>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</si>
  <si>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</si>
  <si>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</si>
  <si>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</si>
  <si>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</si>
  <si>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</si>
  <si>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</si>
  <si>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</si>
  <si>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</si>
  <si>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</si>
  <si>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</si>
  <si>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</si>
  <si>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</si>
  <si>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</si>
  <si>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</si>
  <si>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</si>
  <si>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</si>
  <si>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</si>
  <si>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</si>
  <si>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</si>
  <si>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</si>
  <si>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</si>
  <si>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</si>
  <si>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</si>
  <si>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</si>
  <si>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</si>
  <si>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</si>
  <si>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</si>
  <si>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</si>
  <si>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</si>
  <si>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</si>
  <si>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</si>
  <si>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</si>
  <si>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</si>
  <si>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</si>
  <si>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</si>
  <si>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</si>
  <si>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</si>
  <si>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</si>
  <si>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</si>
  <si>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</si>
  <si>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</si>
  <si>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</si>
  <si>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</si>
  <si>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</si>
  <si>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</si>
  <si>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</si>
  <si>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</si>
  <si>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</si>
  <si>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</si>
  <si>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</si>
  <si>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</si>
  <si>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</si>
  <si>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</si>
  <si>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</si>
  <si>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</si>
  <si>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</si>
  <si>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</si>
  <si>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</si>
  <si>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</si>
  <si>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</si>
  <si>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</si>
  <si>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</si>
  <si>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</si>
  <si>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</si>
  <si>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</si>
  <si>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</si>
  <si>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</si>
  <si>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</si>
  <si>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</si>
  <si>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</si>
  <si>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</si>
  <si>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</si>
  <si>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</si>
  <si>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</si>
  <si>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</si>
  <si>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</si>
  <si>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</si>
  <si>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</si>
  <si>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</si>
  <si>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</si>
  <si>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</si>
  <si>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</si>
  <si>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</si>
  <si>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</si>
  <si>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</si>
  <si>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</si>
  <si>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</si>
  <si>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</si>
  <si>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</si>
  <si>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</si>
  <si>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</si>
  <si>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</si>
  <si>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</si>
  <si>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</si>
  <si>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</si>
  <si>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</si>
  <si>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</si>
  <si>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</si>
  <si>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</si>
  <si>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</si>
  <si>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</si>
  <si>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</si>
  <si>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</si>
  <si>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</si>
  <si>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</si>
  <si>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</si>
  <si>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</si>
  <si>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</si>
  <si>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</si>
  <si>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</si>
  <si>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</si>
  <si>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</si>
  <si>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</si>
  <si>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</si>
  <si>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</si>
  <si>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</si>
  <si>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</si>
  <si>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</si>
  <si>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</si>
  <si>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</si>
  <si>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</si>
  <si>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</si>
  <si>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</si>
  <si>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</si>
  <si>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</si>
  <si>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</si>
  <si>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</si>
  <si>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</si>
  <si>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</si>
  <si>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</si>
  <si>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</si>
  <si>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</si>
  <si>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</si>
  <si>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</si>
  <si>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</si>
  <si>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</si>
  <si>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</si>
  <si>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</si>
  <si>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</si>
  <si>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</si>
  <si>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</si>
  <si>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</si>
  <si>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</si>
  <si>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</si>
  <si>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</si>
  <si>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</si>
  <si>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</si>
  <si>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</si>
  <si>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</si>
  <si>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</si>
  <si>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</si>
  <si>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</si>
  <si>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</si>
  <si>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</si>
  <si>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</si>
  <si>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</si>
  <si>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</si>
  <si>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</si>
  <si>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</si>
  <si>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</si>
  <si>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</si>
  <si>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</si>
  <si>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</si>
  <si>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</si>
  <si>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</si>
  <si>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</si>
  <si>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</si>
  <si>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</si>
  <si>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</si>
  <si>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</si>
  <si>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</si>
  <si>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</si>
  <si>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</si>
  <si>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</si>
  <si>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</si>
  <si>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</si>
  <si>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</si>
  <si>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</si>
  <si>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</si>
  <si>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</si>
  <si>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</si>
  <si>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</si>
  <si>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</si>
  <si>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</si>
  <si>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</si>
  <si>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</si>
  <si>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</si>
  <si>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</si>
  <si>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</si>
  <si>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</si>
  <si>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</si>
  <si>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</si>
  <si>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</si>
  <si>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</si>
  <si>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</si>
  <si>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</si>
  <si>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</si>
  <si>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</si>
  <si>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</si>
  <si>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</si>
  <si>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</si>
  <si>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</si>
  <si>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</si>
  <si>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</si>
  <si>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</si>
  <si>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</si>
  <si>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</si>
  <si>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</si>
  <si>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</si>
  <si>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</si>
  <si>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</si>
  <si>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</si>
  <si>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</si>
  <si>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</si>
  <si>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</si>
  <si>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</si>
  <si>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</si>
  <si>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</si>
  <si>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</si>
  <si>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</si>
  <si>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</si>
  <si>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</si>
  <si>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</si>
  <si>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</si>
  <si>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</si>
  <si>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</si>
  <si>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</si>
  <si>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</si>
  <si>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</si>
  <si>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</si>
  <si>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</si>
  <si>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</si>
  <si>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</si>
  <si>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</si>
  <si>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</si>
  <si>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</si>
  <si>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</si>
  <si>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</si>
  <si>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</si>
  <si>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</si>
  <si>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</si>
  <si>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</si>
  <si>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</si>
  <si>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</si>
  <si>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</si>
  <si>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</si>
  <si>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</si>
  <si>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</si>
  <si>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</si>
  <si>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</si>
  <si>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</si>
  <si>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</si>
  <si>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</si>
  <si>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</si>
  <si>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</si>
  <si>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</si>
  <si>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</si>
  <si>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</si>
  <si>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</si>
  <si>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</si>
  <si>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</si>
  <si>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</si>
  <si>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</si>
  <si>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</si>
  <si>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</si>
  <si>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</si>
  <si>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</si>
  <si>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</si>
  <si>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</si>
  <si>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</si>
  <si>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</si>
  <si>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</si>
  <si>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</si>
  <si>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</si>
  <si>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</si>
  <si>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</si>
  <si>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</si>
  <si>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</si>
  <si>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</si>
  <si>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</si>
  <si>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</si>
  <si>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</si>
  <si>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</si>
  <si>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</si>
  <si>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</si>
  <si>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</si>
  <si>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</si>
  <si>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</si>
  <si>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</si>
  <si>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</si>
  <si>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</si>
  <si>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</si>
  <si>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</si>
  <si>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</si>
  <si>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</si>
  <si>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</si>
  <si>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</si>
  <si>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</si>
  <si>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</si>
  <si>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</si>
  <si>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</si>
  <si>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</si>
  <si>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</si>
  <si>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</si>
  <si>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</si>
  <si>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</si>
  <si>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</si>
  <si>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</si>
  <si>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</si>
  <si>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</si>
  <si>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</si>
  <si>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</si>
  <si>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</si>
  <si>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</si>
  <si>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</si>
  <si>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</si>
  <si>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</si>
  <si>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</si>
  <si>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</si>
  <si>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</si>
  <si>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</si>
  <si>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</si>
  <si>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</si>
  <si>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</si>
  <si>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</si>
  <si>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</si>
  <si>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</si>
  <si>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</si>
  <si>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</si>
  <si>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</si>
  <si>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</si>
  <si>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</si>
  <si>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</si>
  <si>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</si>
  <si>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</si>
  <si>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</si>
  <si>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</si>
  <si>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</si>
  <si>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</si>
  <si>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</si>
  <si>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</si>
  <si>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</si>
  <si>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</si>
  <si>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</si>
  <si>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</si>
  <si>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</si>
  <si>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</si>
  <si>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</si>
  <si>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</si>
  <si>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</si>
  <si>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</si>
  <si>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</si>
  <si>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</si>
  <si>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</si>
  <si>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</si>
  <si>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</si>
  <si>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</si>
  <si>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</si>
  <si>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</si>
  <si>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</si>
  <si>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</si>
  <si>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</si>
  <si>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</si>
  <si>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</si>
  <si>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</si>
  <si>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</si>
  <si>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</si>
  <si>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</si>
  <si>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</si>
  <si>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</si>
  <si>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</si>
  <si>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</si>
  <si>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</si>
  <si>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</si>
  <si>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</si>
  <si>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</si>
  <si>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</si>
  <si>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</si>
  <si>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</si>
  <si>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</si>
  <si>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</si>
  <si>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</si>
  <si>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</si>
  <si>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</si>
  <si>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</si>
  <si>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</si>
  <si>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</si>
  <si>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</si>
  <si>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</si>
  <si>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</si>
  <si>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</si>
  <si>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</si>
  <si>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</si>
  <si>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</si>
  <si>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</si>
  <si>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</si>
  <si>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</si>
  <si>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</si>
  <si>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</si>
  <si>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</si>
  <si>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</si>
  <si>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</si>
  <si>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</si>
  <si>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</si>
  <si>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</si>
  <si>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</si>
  <si>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</si>
  <si>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</si>
  <si>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</si>
  <si>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</si>
  <si>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</si>
  <si>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</si>
  <si>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</si>
  <si>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</si>
  <si>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</si>
  <si>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</si>
  <si>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</si>
  <si>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</si>
  <si>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</si>
  <si>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</si>
  <si>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</si>
  <si>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</si>
  <si>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</si>
  <si>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</si>
  <si>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</si>
  <si>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</si>
  <si>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</si>
  <si>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</si>
  <si>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</si>
  <si>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</si>
  <si>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</si>
  <si>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</si>
  <si>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</si>
  <si>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</si>
  <si>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</si>
  <si>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</si>
  <si>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</si>
  <si>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</si>
  <si>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</si>
  <si>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</si>
  <si>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</si>
  <si>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</si>
  <si>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</si>
  <si>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</si>
  <si>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</si>
  <si>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</si>
  <si>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</si>
  <si>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</si>
  <si>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</si>
  <si>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</si>
  <si>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</si>
  <si>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</si>
  <si>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</si>
  <si>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</si>
  <si>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</si>
  <si>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</si>
  <si>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</si>
  <si>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</si>
  <si>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</si>
  <si>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</si>
  <si>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</si>
  <si>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</si>
  <si>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</si>
  <si>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</si>
  <si>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</si>
  <si>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</si>
  <si>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</si>
  <si>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</si>
  <si>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</si>
  <si>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</si>
  <si>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</si>
  <si>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</si>
  <si>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</si>
  <si>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</si>
  <si>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</si>
  <si>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</si>
  <si>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</si>
  <si>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</si>
  <si>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</si>
  <si>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</si>
  <si>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</si>
  <si>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</si>
  <si>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</si>
  <si>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</si>
  <si>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</si>
  <si>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</si>
  <si>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</si>
  <si>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</si>
  <si>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</si>
  <si>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</si>
  <si>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</si>
  <si>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</si>
  <si>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</si>
  <si>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</si>
  <si>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</si>
  <si>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</si>
  <si>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</si>
  <si>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</si>
  <si>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</si>
  <si>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</si>
  <si>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</si>
  <si>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</si>
  <si>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</si>
  <si>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</si>
  <si>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</si>
  <si>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</si>
  <si>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</si>
  <si>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</si>
  <si>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</si>
  <si>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</si>
  <si>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</si>
  <si>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</si>
  <si>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</si>
  <si>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</si>
  <si>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</si>
  <si>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</si>
  <si>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</si>
  <si>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</si>
  <si>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</si>
  <si>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</si>
  <si>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</si>
  <si>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</si>
  <si>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</si>
  <si>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</si>
  <si>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</si>
  <si>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</si>
  <si>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</si>
  <si>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</si>
  <si>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</si>
  <si>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</si>
  <si>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</si>
  <si>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</si>
  <si>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</si>
  <si>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</si>
  <si>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</si>
  <si>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</si>
  <si>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</si>
  <si>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</si>
  <si>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</si>
  <si>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</si>
  <si>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</si>
  <si>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</si>
  <si>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</si>
  <si>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</si>
  <si>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</si>
  <si>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</si>
  <si>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</si>
  <si>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</si>
  <si>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</si>
  <si>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</si>
  <si>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</si>
  <si>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</si>
  <si>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</si>
  <si>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</si>
  <si>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</si>
  <si>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</si>
  <si>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</si>
  <si>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</si>
  <si>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</si>
  <si>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</si>
  <si>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</si>
  <si>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</si>
  <si>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</si>
  <si>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</si>
  <si>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</si>
  <si>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</si>
  <si>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</si>
  <si>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</si>
  <si>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</si>
  <si>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</si>
  <si>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</si>
  <si>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</si>
  <si>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</si>
  <si>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</si>
  <si>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</si>
  <si>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</si>
  <si>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</si>
  <si>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</si>
  <si>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</si>
  <si>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</si>
  <si>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</si>
  <si>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</si>
  <si>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</si>
  <si>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</si>
  <si>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</si>
  <si>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</si>
  <si>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</si>
  <si>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</si>
  <si>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</si>
  <si>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</si>
  <si>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</si>
  <si>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</si>
  <si>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</si>
  <si>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</si>
  <si>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</si>
  <si>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</si>
  <si>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</si>
  <si>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</si>
  <si>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</si>
  <si>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</si>
  <si>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</si>
  <si>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</si>
  <si>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</si>
  <si>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</si>
  <si>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</si>
  <si>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</si>
  <si>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</si>
  <si>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</si>
  <si>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</si>
  <si>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</si>
  <si>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</si>
  <si>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</si>
  <si>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</si>
  <si>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</si>
  <si>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</si>
  <si>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</si>
  <si>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</si>
  <si>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</si>
  <si>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</si>
  <si>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</si>
  <si>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</si>
  <si>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</si>
  <si>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</si>
  <si>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</si>
  <si>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</si>
  <si>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</si>
  <si>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</si>
  <si>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</si>
  <si>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</si>
  <si>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</si>
  <si>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</si>
  <si>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</si>
  <si>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</si>
  <si>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</si>
  <si>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</si>
  <si>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</si>
  <si>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</si>
  <si>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</si>
  <si>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</si>
  <si>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</si>
  <si>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</si>
  <si>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</si>
  <si>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</si>
  <si>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</si>
  <si>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</si>
  <si>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</si>
  <si>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</si>
  <si>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</si>
  <si>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</si>
  <si>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</si>
  <si>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</si>
  <si>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</si>
  <si>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</si>
  <si>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</si>
  <si>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</si>
  <si>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</si>
  <si>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</si>
  <si>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</si>
  <si>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</si>
  <si>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</si>
  <si>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</si>
  <si>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</si>
  <si>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</si>
  <si>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</si>
  <si>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</si>
  <si>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</si>
  <si>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</si>
  <si>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</si>
  <si>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</si>
  <si>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</si>
  <si>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</si>
  <si>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</si>
  <si>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</si>
  <si>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</si>
  <si>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</si>
  <si>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</si>
  <si>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</si>
  <si>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</si>
  <si>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</si>
  <si>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</si>
  <si>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</si>
  <si>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</si>
  <si>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</si>
  <si>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</si>
  <si>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</si>
  <si>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</si>
  <si>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</si>
  <si>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</si>
  <si>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</si>
  <si>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</si>
  <si>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</si>
  <si>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</si>
  <si>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</si>
  <si>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</si>
  <si>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</si>
  <si>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</si>
  <si>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</si>
  <si>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</si>
  <si>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</si>
  <si>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</si>
  <si>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</si>
  <si>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</si>
  <si>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</si>
  <si>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</si>
  <si>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</si>
  <si>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</si>
  <si>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</si>
  <si>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</si>
  <si>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</si>
  <si>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</si>
  <si>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</si>
  <si>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</si>
  <si>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</si>
  <si>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</si>
  <si>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</si>
  <si>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</si>
  <si>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</si>
  <si>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</si>
  <si>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</si>
  <si>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</si>
  <si>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</si>
  <si>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</si>
  <si>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</si>
  <si>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</si>
  <si>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</si>
  <si>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</si>
  <si>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</si>
  <si>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</si>
  <si>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</si>
  <si>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</si>
  <si>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</si>
  <si>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</si>
  <si>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</si>
  <si>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</si>
  <si>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</si>
  <si>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</si>
  <si>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</si>
  <si>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</si>
  <si>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</si>
  <si>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</si>
  <si>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</si>
  <si>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</si>
  <si>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</si>
  <si>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</si>
  <si>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</si>
  <si>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</si>
  <si>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</si>
  <si>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</si>
  <si>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</si>
  <si>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</si>
  <si>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</si>
  <si>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</si>
  <si>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</si>
  <si>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</si>
  <si>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</si>
  <si>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</si>
  <si>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</si>
  <si>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</si>
  <si>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</si>
  <si>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</si>
  <si>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</si>
  <si>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</si>
  <si>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</si>
  <si>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</si>
  <si>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</si>
  <si>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</si>
  <si>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</si>
  <si>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</si>
  <si>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</si>
  <si>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</si>
  <si>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</si>
  <si>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</si>
  <si>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</si>
  <si>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</si>
  <si>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</si>
  <si>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</si>
  <si>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</si>
  <si>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</si>
  <si>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</si>
  <si>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</si>
  <si>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</si>
  <si>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</si>
  <si>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</si>
  <si>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</si>
  <si>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</si>
  <si>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</si>
  <si>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</si>
  <si>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</si>
  <si>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</si>
  <si>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</si>
  <si>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</si>
  <si>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</si>
  <si>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</si>
  <si>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</si>
  <si>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</si>
  <si>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</si>
  <si>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</si>
  <si>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</si>
  <si>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</si>
  <si>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</si>
  <si>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</si>
  <si>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</si>
  <si>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</si>
  <si>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</si>
  <si>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</si>
  <si>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</si>
  <si>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</si>
  <si>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</si>
  <si>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</si>
  <si>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</si>
  <si>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</si>
  <si>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</si>
  <si>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</si>
  <si>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</si>
  <si>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</si>
  <si>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</si>
  <si>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</si>
  <si>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</si>
  <si>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</si>
  <si>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</si>
  <si>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</si>
  <si>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</si>
  <si>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</si>
  <si>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</si>
  <si>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</si>
  <si>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</si>
  <si>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</si>
  <si>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</si>
  <si>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</si>
  <si>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</si>
  <si>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</si>
  <si>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</si>
  <si>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</si>
  <si>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</si>
  <si>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</si>
  <si>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</si>
  <si>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</si>
  <si>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</si>
  <si>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</si>
  <si>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</si>
  <si>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</si>
  <si>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</si>
  <si>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</si>
  <si>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</si>
  <si>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</si>
  <si>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</si>
  <si>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</si>
  <si>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</si>
  <si>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</si>
  <si>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</si>
  <si>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</si>
  <si>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</si>
  <si>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</si>
  <si>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</si>
  <si>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</si>
  <si>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</si>
  <si>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</si>
  <si>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</si>
  <si>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</si>
  <si>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</si>
  <si>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</si>
  <si>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</si>
  <si>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</si>
  <si>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</si>
  <si>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</si>
  <si>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</si>
  <si>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</si>
  <si>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</si>
  <si>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</si>
  <si>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</si>
  <si>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</si>
  <si>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</si>
  <si>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</si>
  <si>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</si>
  <si>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</si>
  <si>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</si>
  <si>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</si>
  <si>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</si>
  <si>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</si>
  <si>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</si>
  <si>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</si>
  <si>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</si>
  <si>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</si>
  <si>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</si>
  <si>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</si>
  <si>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</si>
  <si>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</si>
  <si>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</si>
  <si>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</si>
  <si>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</si>
  <si>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</si>
  <si>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</si>
  <si>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</si>
  <si>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</si>
  <si>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</si>
  <si>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</si>
  <si>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</si>
  <si>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</si>
  <si>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</si>
  <si>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</si>
  <si>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</si>
  <si>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</si>
  <si>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</si>
  <si>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</si>
  <si>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</si>
  <si>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</si>
  <si>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</si>
  <si>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</si>
  <si>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</si>
  <si>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</si>
  <si>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</si>
  <si>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</si>
  <si>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</si>
  <si>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</si>
  <si>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</si>
  <si>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</si>
  <si>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</si>
  <si>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</si>
  <si>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</si>
  <si>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</si>
  <si>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</si>
  <si>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</si>
  <si>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</si>
  <si>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</si>
  <si>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</si>
  <si>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</si>
  <si>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</si>
  <si>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</si>
  <si>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</si>
  <si>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</si>
  <si>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</si>
  <si>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</si>
  <si>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</si>
  <si>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</si>
  <si>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</si>
  <si>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</si>
  <si>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</si>
  <si>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</si>
  <si>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</si>
  <si>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</si>
  <si>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</si>
  <si>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</si>
  <si>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</si>
  <si>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</si>
  <si>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</si>
  <si>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</si>
  <si>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</si>
  <si>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</si>
  <si>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</si>
  <si>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</si>
  <si>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</si>
  <si>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</si>
  <si>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</si>
  <si>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</si>
  <si>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</si>
  <si>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</si>
  <si>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</si>
  <si>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</si>
  <si>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</si>
  <si>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</si>
  <si>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</si>
  <si>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</si>
  <si>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</si>
  <si>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</si>
  <si>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</si>
  <si>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</si>
  <si>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</si>
  <si>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</si>
  <si>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</si>
  <si>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</si>
  <si>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</si>
  <si>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</si>
  <si>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</si>
  <si>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</si>
  <si>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</si>
  <si>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</si>
  <si>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</si>
  <si>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</si>
  <si>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</si>
  <si>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</si>
  <si>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</si>
  <si>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</si>
  <si>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</si>
  <si>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</si>
  <si>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</si>
  <si>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</si>
  <si>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</si>
  <si>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</si>
  <si>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</si>
  <si>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</si>
  <si>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</si>
  <si>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</si>
  <si>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</si>
  <si>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</si>
  <si>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</si>
  <si>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</si>
  <si>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</si>
  <si>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</si>
  <si>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</si>
  <si>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</si>
  <si>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</si>
  <si>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</si>
  <si>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</si>
  <si>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</si>
  <si>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</si>
  <si>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</si>
  <si>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</si>
  <si>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</si>
  <si>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</si>
  <si>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</si>
  <si>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</si>
  <si>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</si>
  <si>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</si>
  <si>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</si>
  <si>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</si>
  <si>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</si>
  <si>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</si>
  <si>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</si>
  <si>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</si>
  <si>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</si>
  <si>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</si>
  <si>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</si>
  <si>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</si>
  <si>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</si>
  <si>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</si>
  <si>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</si>
  <si>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</si>
  <si>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</si>
  <si>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</si>
  <si>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</si>
  <si>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</si>
  <si>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</si>
  <si>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</si>
  <si>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</si>
  <si>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</si>
  <si>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</si>
  <si>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</si>
  <si>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</si>
  <si>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</si>
  <si>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</si>
  <si>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</si>
  <si>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</si>
  <si>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</si>
  <si>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</si>
  <si>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</si>
  <si>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</si>
  <si>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</si>
  <si>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</si>
  <si>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</si>
  <si>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</si>
  <si>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</si>
  <si>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</si>
  <si>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</si>
  <si>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</si>
  <si>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</si>
  <si>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</si>
  <si>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</si>
  <si>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</si>
  <si>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</si>
  <si>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</si>
  <si>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</si>
  <si>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</si>
  <si>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</si>
  <si>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</si>
  <si>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</si>
  <si>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</si>
  <si>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</si>
  <si>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</si>
  <si>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</si>
  <si>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</si>
  <si>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</si>
  <si>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</si>
  <si>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</si>
  <si>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</si>
  <si>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</si>
  <si>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</si>
  <si>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</si>
  <si>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</si>
  <si>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</si>
  <si>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</si>
  <si>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</si>
  <si>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</si>
  <si>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</si>
  <si>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</si>
  <si>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</si>
  <si>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</si>
  <si>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</si>
  <si>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</si>
  <si>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</si>
  <si>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</si>
  <si>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</si>
  <si>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</si>
  <si>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</si>
  <si>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</si>
  <si>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</si>
  <si>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</si>
  <si>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</si>
  <si>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</si>
  <si>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</si>
  <si>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</si>
  <si>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</si>
  <si>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</si>
  <si>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</si>
  <si>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</si>
  <si>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</si>
  <si>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</si>
  <si>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</si>
  <si>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</si>
  <si>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</si>
  <si>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</si>
  <si>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</si>
  <si>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</si>
  <si>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</si>
  <si>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</si>
  <si>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</si>
  <si>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</si>
  <si>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</si>
  <si>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</si>
  <si>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</si>
  <si>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</si>
  <si>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</si>
  <si>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</si>
  <si>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</si>
  <si>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</si>
  <si>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</si>
  <si>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</si>
  <si>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</si>
  <si>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</si>
  <si>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</si>
  <si>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</si>
  <si>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</si>
  <si>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</si>
  <si>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</si>
  <si>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</si>
  <si>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</si>
  <si>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</si>
  <si>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</si>
  <si>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</si>
  <si>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</si>
  <si>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</si>
  <si>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</si>
  <si>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</si>
  <si>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</si>
  <si>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</si>
  <si>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</si>
  <si>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</si>
  <si>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</si>
  <si>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</si>
  <si>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</si>
  <si>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</si>
  <si>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</si>
  <si>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</si>
  <si>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</si>
  <si>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</si>
  <si>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</si>
  <si>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</si>
  <si>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</si>
  <si>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</si>
  <si>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</si>
  <si>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</si>
  <si>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</si>
  <si>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</si>
  <si>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</si>
  <si>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</si>
  <si>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</si>
  <si>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</si>
  <si>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</si>
  <si>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</si>
  <si>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</si>
  <si>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</si>
  <si>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</si>
  <si>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</si>
  <si>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</si>
  <si>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</si>
  <si>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</si>
  <si>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</si>
  <si>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</si>
  <si>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</si>
  <si>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</si>
  <si>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</si>
  <si>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</si>
  <si>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</si>
  <si>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</si>
  <si>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</si>
  <si>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</si>
  <si>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</si>
  <si>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</si>
  <si>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</si>
  <si>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</si>
  <si>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</si>
  <si>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</si>
  <si>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</si>
  <si>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</si>
  <si>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</si>
  <si>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</si>
  <si>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</si>
  <si>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</si>
  <si>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</si>
  <si>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</si>
  <si>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</si>
  <si>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</si>
  <si>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</si>
  <si>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</si>
  <si>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</si>
  <si>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</si>
  <si>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</si>
  <si>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</si>
  <si>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</si>
  <si>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</si>
  <si>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</si>
  <si>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</si>
  <si>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</si>
  <si>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</si>
  <si>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</si>
  <si>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</si>
  <si>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</si>
  <si>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</si>
  <si>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</si>
  <si>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</si>
  <si>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</si>
  <si>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</si>
  <si>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</si>
  <si>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</si>
  <si>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</si>
  <si>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</si>
  <si>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</si>
  <si>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</si>
  <si>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</si>
  <si>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</si>
  <si>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</si>
  <si>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</si>
  <si>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</si>
  <si>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</si>
  <si>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</si>
  <si>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</si>
  <si>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</si>
  <si>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</si>
  <si>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</si>
  <si>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</si>
  <si>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</si>
  <si>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</si>
  <si>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</si>
  <si>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</si>
  <si>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</si>
  <si>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</si>
  <si>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</si>
  <si>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</si>
  <si>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</si>
  <si>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</si>
  <si>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</si>
  <si>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</si>
  <si>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</si>
  <si>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</si>
  <si>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</si>
  <si>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</si>
  <si>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</si>
  <si>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</si>
  <si>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</si>
  <si>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</si>
  <si>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</si>
  <si>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</si>
  <si>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</si>
  <si>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</si>
  <si>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</si>
  <si>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</si>
  <si>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</si>
  <si>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</si>
  <si>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</si>
  <si>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</si>
  <si>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</si>
  <si>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</si>
  <si>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</si>
  <si>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</si>
  <si>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</si>
  <si>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</si>
  <si>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</si>
  <si>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</si>
  <si>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</si>
  <si>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</si>
  <si>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</si>
  <si>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</si>
  <si>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</si>
  <si>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</si>
  <si>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</si>
  <si>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</si>
  <si>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</si>
  <si>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</si>
  <si>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</si>
  <si>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</si>
  <si>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</si>
  <si>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</si>
  <si>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</si>
  <si>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</si>
  <si>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</si>
  <si>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</si>
  <si>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</si>
  <si>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</si>
  <si>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</si>
  <si>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</si>
  <si>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</si>
  <si>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</si>
  <si>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</si>
  <si>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</si>
  <si>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</si>
  <si>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</si>
  <si>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</si>
  <si>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</si>
  <si>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</si>
  <si>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</si>
  <si>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</si>
  <si>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</si>
  <si>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</si>
  <si>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</si>
  <si>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</si>
  <si>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</si>
  <si>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</si>
  <si>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</si>
  <si>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</si>
  <si>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</si>
  <si>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</si>
  <si>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</si>
  <si>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</si>
  <si>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</si>
  <si>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</si>
  <si>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</si>
  <si>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</si>
  <si>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</si>
  <si>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</si>
  <si>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</si>
  <si>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</si>
  <si>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</si>
  <si>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</si>
  <si>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</si>
  <si>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</si>
  <si>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</si>
  <si>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</si>
  <si>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</si>
  <si>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</si>
  <si>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</si>
  <si>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</si>
  <si>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</si>
  <si>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</si>
  <si>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</si>
  <si>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</si>
  <si>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</si>
  <si>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</si>
  <si>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</si>
  <si>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</si>
  <si>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</si>
  <si>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</si>
  <si>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</si>
  <si>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</si>
  <si>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</si>
  <si>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</si>
  <si>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</si>
  <si>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</si>
  <si>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</si>
  <si>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</si>
  <si>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</si>
  <si>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</si>
  <si>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</si>
  <si>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</si>
  <si>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</si>
  <si>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</si>
  <si>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</si>
  <si>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</si>
  <si>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</si>
  <si>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</si>
  <si>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</si>
  <si>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</si>
  <si>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</si>
  <si>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</si>
  <si>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</si>
  <si>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</si>
  <si>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</si>
  <si>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</si>
  <si>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</si>
  <si>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</si>
  <si>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</si>
  <si>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</si>
  <si>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</si>
  <si>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</si>
  <si>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</si>
  <si>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</si>
  <si>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</si>
  <si>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</si>
  <si>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</si>
  <si>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</si>
  <si>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</si>
  <si>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</si>
  <si>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</si>
  <si>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</si>
  <si>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</si>
  <si>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</si>
  <si>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</si>
  <si>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</si>
  <si>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</si>
  <si>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</si>
  <si>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</si>
  <si>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</si>
  <si>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</si>
  <si>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</si>
  <si>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</si>
  <si>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</si>
  <si>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</si>
  <si>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</si>
  <si>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</si>
  <si>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</si>
  <si>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</si>
  <si>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</si>
  <si>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</si>
  <si>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</si>
  <si>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</si>
  <si>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</si>
  <si>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</si>
  <si>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</si>
  <si>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</si>
  <si>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</si>
  <si>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</si>
  <si>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</si>
  <si>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</si>
  <si>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</si>
  <si>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</si>
  <si>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</si>
  <si>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</si>
  <si>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</si>
  <si>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</si>
  <si>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</si>
  <si>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</si>
  <si>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</si>
  <si>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</si>
  <si>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</si>
  <si>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</si>
  <si>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</si>
  <si>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</si>
  <si>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</si>
  <si>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</si>
  <si>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</si>
  <si>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</si>
  <si>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</si>
  <si>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</si>
  <si>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</si>
  <si>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</si>
  <si>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</si>
  <si>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</si>
  <si>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</si>
  <si>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</si>
  <si>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</si>
  <si>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</si>
  <si>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</si>
  <si>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</si>
  <si>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</si>
  <si>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</si>
  <si>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</si>
  <si>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</si>
  <si>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</si>
  <si>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</si>
  <si>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</si>
  <si>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</si>
  <si>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</si>
  <si>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</si>
  <si>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</si>
  <si>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</si>
  <si>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</si>
  <si>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</si>
  <si>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</si>
  <si>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</si>
  <si>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</si>
  <si>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</si>
  <si>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</si>
  <si>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</si>
  <si>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</si>
  <si>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</si>
  <si>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</si>
  <si>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</si>
  <si>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</si>
  <si>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</si>
  <si>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</si>
  <si>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</si>
  <si>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</si>
  <si>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</si>
  <si>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</si>
  <si>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</si>
  <si>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</si>
  <si>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</si>
  <si>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</si>
  <si>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</si>
  <si>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</si>
  <si>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</si>
  <si>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</si>
  <si>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</si>
  <si>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</si>
  <si>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</si>
  <si>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</si>
  <si>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</si>
  <si>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</si>
  <si>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</si>
  <si>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</si>
  <si>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</si>
  <si>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</si>
  <si>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</si>
  <si>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</si>
  <si>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</si>
  <si>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</si>
  <si>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</si>
  <si>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</si>
  <si>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</si>
  <si>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</si>
  <si>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</si>
  <si>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</si>
  <si>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</si>
  <si>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</si>
  <si>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</si>
  <si>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</si>
  <si>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</si>
  <si>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</si>
  <si>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</si>
  <si>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</si>
  <si>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</si>
  <si>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</si>
  <si>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</si>
  <si>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</si>
  <si>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</si>
  <si>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</si>
  <si>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</si>
  <si>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</si>
  <si>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</si>
  <si>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</si>
  <si>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</si>
  <si>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</si>
  <si>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</si>
  <si>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</si>
  <si>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</si>
  <si>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</si>
  <si>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</si>
  <si>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</si>
  <si>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</si>
  <si>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</si>
  <si>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</si>
  <si>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</si>
  <si>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</si>
  <si>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</si>
  <si>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</si>
  <si>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</si>
  <si>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</si>
  <si>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</si>
  <si>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</si>
  <si>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</si>
  <si>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</si>
  <si>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</si>
  <si>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</si>
  <si>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</si>
  <si>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</si>
  <si>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</si>
  <si>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</si>
  <si>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</si>
  <si>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</si>
  <si>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</si>
  <si>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</si>
  <si>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</si>
  <si>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</si>
  <si>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</si>
  <si>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</si>
  <si>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</si>
  <si>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</si>
  <si>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</si>
  <si>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</si>
  <si>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</si>
  <si>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</si>
  <si>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</si>
  <si>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</si>
  <si>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</si>
  <si>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</si>
  <si>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</si>
  <si>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</si>
  <si>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</si>
  <si>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</si>
  <si>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</si>
  <si>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</si>
  <si>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</si>
  <si>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</si>
  <si>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</si>
  <si>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</si>
  <si>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</si>
  <si>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</si>
  <si>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</si>
  <si>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</si>
  <si>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</si>
  <si>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</si>
  <si>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</si>
  <si>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</si>
  <si>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</si>
  <si>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</si>
  <si>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</si>
  <si>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</si>
  <si>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</si>
  <si>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</si>
  <si>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</si>
  <si>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</si>
  <si>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</si>
  <si>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</si>
  <si>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</si>
  <si>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</si>
  <si>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</si>
  <si>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</si>
  <si>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</si>
  <si>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</si>
  <si>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</si>
  <si>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</si>
  <si>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</si>
  <si>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</si>
  <si>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</si>
  <si>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</si>
  <si>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</si>
  <si>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</si>
  <si>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</si>
  <si>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</si>
  <si>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</si>
  <si>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</si>
  <si>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</si>
  <si>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</si>
  <si>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</si>
  <si>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</si>
  <si>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</si>
  <si>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</si>
  <si>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</si>
  <si>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</si>
  <si>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</si>
  <si>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</si>
  <si>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</si>
  <si>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</si>
  <si>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</si>
  <si>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</si>
  <si>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</si>
  <si>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</si>
  <si>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</si>
  <si>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</si>
  <si>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</si>
  <si>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</si>
  <si>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</si>
  <si>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</si>
  <si>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</si>
  <si>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</si>
  <si>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</si>
  <si>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</si>
  <si>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</si>
  <si>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</si>
  <si>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</si>
  <si>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</si>
  <si>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</si>
  <si>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</si>
  <si>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</si>
  <si>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</si>
  <si>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</si>
  <si>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</si>
  <si>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</si>
  <si>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</si>
  <si>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</si>
  <si>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</si>
  <si>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</si>
  <si>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</si>
  <si>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</si>
  <si>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</si>
  <si>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</si>
  <si>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</si>
  <si>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</si>
  <si>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</si>
  <si>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</si>
  <si>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</si>
  <si>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</si>
  <si>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</si>
  <si>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</si>
  <si>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</si>
  <si>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</si>
  <si>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</si>
  <si>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</si>
  <si>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</si>
  <si>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</si>
  <si>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</si>
  <si>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</si>
  <si>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</si>
  <si>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</si>
  <si>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</si>
  <si>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</si>
  <si>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</si>
  <si>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</si>
  <si>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</si>
  <si>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</si>
  <si>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</si>
  <si>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</si>
  <si>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</si>
  <si>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</si>
  <si>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</si>
  <si>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</si>
  <si>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</si>
  <si>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</si>
  <si>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</si>
  <si>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</si>
  <si>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</si>
  <si>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</si>
  <si>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</si>
  <si>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</si>
  <si>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</si>
  <si>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</si>
  <si>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</si>
  <si>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</si>
  <si>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</si>
  <si>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</si>
  <si>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</si>
  <si>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</si>
  <si>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</si>
  <si>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</si>
  <si>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</si>
  <si>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</si>
  <si>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</si>
  <si>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</si>
  <si>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</si>
  <si>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</si>
  <si>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</si>
  <si>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</si>
  <si>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</si>
  <si>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</si>
  <si>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</si>
  <si>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</si>
  <si>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</si>
  <si>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</si>
  <si>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</si>
  <si>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</si>
  <si>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</si>
  <si>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</si>
  <si>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</si>
  <si>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</si>
  <si>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</si>
  <si>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</si>
  <si>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</si>
  <si>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</si>
  <si>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</si>
  <si>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</si>
  <si>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</si>
  <si>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</si>
  <si>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</si>
  <si>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</si>
  <si>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</si>
  <si>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</si>
  <si>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</si>
  <si>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</si>
  <si>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</si>
  <si>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</si>
  <si>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</si>
  <si>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</si>
  <si>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</si>
  <si>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</si>
  <si>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</si>
  <si>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</si>
  <si>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</si>
  <si>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</si>
  <si>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</si>
  <si>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</si>
  <si>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</si>
  <si>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</si>
  <si>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</si>
  <si>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</si>
  <si>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</si>
  <si>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</si>
  <si>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</si>
  <si>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</si>
  <si>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</si>
  <si>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</si>
  <si>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</si>
  <si>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</si>
  <si>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</si>
  <si>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</si>
  <si>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</si>
  <si>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</si>
  <si>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</si>
  <si>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</si>
  <si>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</si>
  <si>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</si>
  <si>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</si>
  <si>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</si>
  <si>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</si>
  <si>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</si>
  <si>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</si>
  <si>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</si>
  <si>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</si>
  <si>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</si>
  <si>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</si>
  <si>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</si>
  <si>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</si>
  <si>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</si>
  <si>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</si>
  <si>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</si>
  <si>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</si>
  <si>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</si>
  <si>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</si>
  <si>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</si>
  <si>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</si>
  <si>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</si>
  <si>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</si>
  <si>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</si>
  <si>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</si>
  <si>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</si>
  <si>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</si>
  <si>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</si>
  <si>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</si>
  <si>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</si>
  <si>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</si>
  <si>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</si>
  <si>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</si>
  <si>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</si>
  <si>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</si>
  <si>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</si>
  <si>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</si>
  <si>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</si>
  <si>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</si>
  <si>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</si>
  <si>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</si>
  <si>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</si>
  <si>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</si>
  <si>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</si>
  <si>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</si>
  <si>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</si>
  <si>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</si>
  <si>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</si>
  <si>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</si>
  <si>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</si>
  <si>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</si>
  <si>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</si>
  <si>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</si>
  <si>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</si>
  <si>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</si>
  <si>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</si>
  <si>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</si>
  <si>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</si>
  <si>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</si>
  <si>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</si>
  <si>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</si>
  <si>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</si>
  <si>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</si>
  <si>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</si>
  <si>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</si>
  <si>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</si>
  <si>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</si>
  <si>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</si>
  <si>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</si>
  <si>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</si>
  <si>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</si>
  <si>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</si>
  <si>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</si>
  <si>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</si>
  <si>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</si>
  <si>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</si>
  <si>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</si>
  <si>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</si>
  <si>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</si>
  <si>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</si>
  <si>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</si>
  <si>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</si>
  <si>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</si>
  <si>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</si>
  <si>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</si>
  <si>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</si>
  <si>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</si>
  <si>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</si>
  <si>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</si>
  <si>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</si>
  <si>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</si>
  <si>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</si>
  <si>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</si>
  <si>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</si>
  <si>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</si>
  <si>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</si>
  <si>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</si>
  <si>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</si>
  <si>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</si>
  <si>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</si>
  <si>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</si>
  <si>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</si>
  <si>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</si>
  <si>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</si>
  <si>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</si>
  <si>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</si>
  <si>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</si>
  <si>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</si>
  <si>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</si>
  <si>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</si>
  <si>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</si>
  <si>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</si>
  <si>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</si>
  <si>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</si>
  <si>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</si>
  <si>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</si>
  <si>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</si>
  <si>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</si>
  <si>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</si>
  <si>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</si>
  <si>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</si>
  <si>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</si>
  <si>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</si>
  <si>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</si>
  <si>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</si>
  <si>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</si>
  <si>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</si>
  <si>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</si>
  <si>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</si>
  <si>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</si>
  <si>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</si>
  <si>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</si>
  <si>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</si>
  <si>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</si>
  <si>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</si>
  <si>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</si>
  <si>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</si>
  <si>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</si>
  <si>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</si>
  <si>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</si>
  <si>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</si>
  <si>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</si>
  <si>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</si>
  <si>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</si>
  <si>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</si>
  <si>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</si>
  <si>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</si>
  <si>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</si>
  <si>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</si>
  <si>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</si>
  <si>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</si>
  <si>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</si>
  <si>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</si>
  <si>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</si>
  <si>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</si>
  <si>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</si>
  <si>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</si>
  <si>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</si>
  <si>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</si>
  <si>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</si>
  <si>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</si>
  <si>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</si>
  <si>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</si>
  <si>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</si>
  <si>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</si>
  <si>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</si>
  <si>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</si>
  <si>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</si>
  <si>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</si>
  <si>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</si>
  <si>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</si>
  <si>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</si>
  <si>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</si>
  <si>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</si>
  <si>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</si>
  <si>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</si>
  <si>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</si>
  <si>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</si>
  <si>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</si>
  <si>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</si>
  <si>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</si>
  <si>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</si>
  <si>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</si>
  <si>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</si>
  <si>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</si>
  <si>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</si>
  <si>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</si>
  <si>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</si>
  <si>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</si>
  <si>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</si>
  <si>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</si>
  <si>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</si>
  <si>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</si>
  <si>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</si>
  <si>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</si>
  <si>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</si>
  <si>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</si>
  <si>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</si>
  <si>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</si>
  <si>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</si>
  <si>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</si>
  <si>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</si>
  <si>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</si>
  <si>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</si>
  <si>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</si>
  <si>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</si>
  <si>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</si>
  <si>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</si>
  <si>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</si>
  <si>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</si>
  <si>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</si>
  <si>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</si>
  <si>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</si>
  <si>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</si>
  <si>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</si>
  <si>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</si>
  <si>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</si>
  <si>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</si>
  <si>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</si>
  <si>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</si>
  <si>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</si>
  <si>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</si>
  <si>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</si>
  <si>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</si>
  <si>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</si>
  <si>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</si>
  <si>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</si>
  <si>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</si>
  <si>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</si>
  <si>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</si>
  <si>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</si>
  <si>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</si>
  <si>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</si>
  <si>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</si>
  <si>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</si>
  <si>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</si>
  <si>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</si>
  <si>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</si>
  <si>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</si>
  <si>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</si>
  <si>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</si>
  <si>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</si>
  <si>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</si>
  <si>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</si>
  <si>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</si>
  <si>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</si>
  <si>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</si>
  <si>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</si>
  <si>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</si>
  <si>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</si>
  <si>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</si>
  <si>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</si>
  <si>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</si>
  <si>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</si>
  <si>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</si>
  <si>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</si>
  <si>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</si>
  <si>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</si>
  <si>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</si>
  <si>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</si>
  <si>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</si>
  <si>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</si>
  <si>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</si>
  <si>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</si>
  <si>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</si>
  <si>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</si>
  <si>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</si>
  <si>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</si>
  <si>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</si>
  <si>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</si>
  <si>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</si>
  <si>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</si>
  <si>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</si>
  <si>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</si>
  <si>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</si>
  <si>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</si>
  <si>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</si>
  <si>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</si>
  <si>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</si>
  <si>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</si>
  <si>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</si>
  <si>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</si>
  <si>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</si>
  <si>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</si>
  <si>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</si>
  <si>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</si>
  <si>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</si>
  <si>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</si>
  <si>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</si>
  <si>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</si>
  <si>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</si>
  <si>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</si>
  <si>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</si>
  <si>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</si>
  <si>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</si>
  <si>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</si>
  <si>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</si>
  <si>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</si>
  <si>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</si>
  <si>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</si>
  <si>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</si>
  <si>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</si>
  <si>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</si>
  <si>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</si>
  <si>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</si>
  <si>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</si>
  <si>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</si>
  <si>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</si>
  <si>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</si>
  <si>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</si>
  <si>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</si>
  <si>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</si>
  <si>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</si>
  <si>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</si>
  <si>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</si>
  <si>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</si>
  <si>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</si>
  <si>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</si>
  <si>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</si>
  <si>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</si>
  <si>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</si>
  <si>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</si>
  <si>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</si>
  <si>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</si>
  <si>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</si>
  <si>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</si>
  <si>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</si>
  <si>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</si>
  <si>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</si>
  <si>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</si>
  <si>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</si>
  <si>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</si>
  <si>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</si>
  <si>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</si>
  <si>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</si>
  <si>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</si>
  <si>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</si>
  <si>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</si>
  <si>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</si>
  <si>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</si>
  <si>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</si>
  <si>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</si>
  <si>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</si>
  <si>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</si>
  <si>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</si>
  <si>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</si>
  <si>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</si>
  <si>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</si>
  <si>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</si>
  <si>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</si>
  <si>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</si>
  <si>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</si>
  <si>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</si>
  <si>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</si>
  <si>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</si>
  <si>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</si>
  <si>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</si>
  <si>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</si>
  <si>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</si>
  <si>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</si>
  <si>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</si>
  <si>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</si>
  <si>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</si>
  <si>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</si>
  <si>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</si>
  <si>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</si>
  <si>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</si>
  <si>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</si>
  <si>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</si>
  <si>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</si>
  <si>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</si>
  <si>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</si>
  <si>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</si>
  <si>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</si>
  <si>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</si>
  <si>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</si>
  <si>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</si>
  <si>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</si>
  <si>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</si>
  <si>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</si>
  <si>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</si>
  <si>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</si>
  <si>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</si>
  <si>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</si>
  <si>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</si>
  <si>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</si>
  <si>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</si>
  <si>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</si>
  <si>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</si>
  <si>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</si>
  <si>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</si>
  <si>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</si>
  <si>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</si>
  <si>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</si>
  <si>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</si>
  <si>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</si>
  <si>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</si>
  <si>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</si>
  <si>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</si>
  <si>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</si>
  <si>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</si>
  <si>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</si>
  <si>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</si>
  <si>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</si>
  <si>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</si>
  <si>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</si>
  <si>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</si>
  <si>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</si>
  <si>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</si>
  <si>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</si>
  <si>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</si>
  <si>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</si>
  <si>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</si>
  <si>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</si>
  <si>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</si>
  <si>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</si>
  <si>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</si>
  <si>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</si>
  <si>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</si>
  <si>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</si>
  <si>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</si>
  <si>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</si>
  <si>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</si>
  <si>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</si>
  <si>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</si>
  <si>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</si>
  <si>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</si>
  <si>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</si>
  <si>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</si>
  <si>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</si>
  <si>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</si>
  <si>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</si>
  <si>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</si>
  <si>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</si>
  <si>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</si>
  <si>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</si>
  <si>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</si>
  <si>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</si>
  <si>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</si>
  <si>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</si>
  <si>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</si>
  <si>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</si>
  <si>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</si>
  <si>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</si>
  <si>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</si>
  <si>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</si>
  <si>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</si>
  <si>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</si>
  <si>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</si>
  <si>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</si>
  <si>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</si>
  <si>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</si>
  <si>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</si>
  <si>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</si>
  <si>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</si>
  <si>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</si>
  <si>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</si>
  <si>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</si>
  <si>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</si>
  <si>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</si>
  <si>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</si>
  <si>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</si>
  <si>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</si>
  <si>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</si>
  <si>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</si>
  <si>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</si>
  <si>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</si>
  <si>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</si>
  <si>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</si>
  <si>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</si>
  <si>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</si>
  <si>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</si>
  <si>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</si>
  <si>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</si>
  <si>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</si>
  <si>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</si>
  <si>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</si>
  <si>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</si>
  <si>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</si>
  <si>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</si>
  <si>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</si>
  <si>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</si>
  <si>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</si>
  <si>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</si>
  <si>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</si>
  <si>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</si>
  <si>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</si>
  <si>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</si>
  <si>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</si>
  <si>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</si>
  <si>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</si>
  <si>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</si>
  <si>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</si>
  <si>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</si>
  <si>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</si>
  <si>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</si>
  <si>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</si>
  <si>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</si>
  <si>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</si>
  <si>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</si>
  <si>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</si>
  <si>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</si>
  <si>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</si>
  <si>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</si>
  <si>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</si>
  <si>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</si>
  <si>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</si>
  <si>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</si>
  <si>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</si>
  <si>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</si>
  <si>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</si>
  <si>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</si>
  <si>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</si>
  <si>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</si>
  <si>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</si>
  <si>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</si>
  <si>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</si>
  <si>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</si>
  <si>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</si>
  <si>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</si>
  <si>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</si>
  <si>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</si>
  <si>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</si>
  <si>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</si>
  <si>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</si>
  <si>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</si>
  <si>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</si>
  <si>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</si>
  <si>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</si>
  <si>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</si>
  <si>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</si>
  <si>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</si>
  <si>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</si>
  <si>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</si>
  <si>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</si>
  <si>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</si>
  <si>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</si>
  <si>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</si>
  <si>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</si>
  <si>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</si>
  <si>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</si>
  <si>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</si>
  <si>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</si>
  <si>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</si>
  <si>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</si>
  <si>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</si>
  <si>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</si>
  <si>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</si>
  <si>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</si>
  <si>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</si>
  <si>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</si>
  <si>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</si>
  <si>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</si>
  <si>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</si>
  <si>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</si>
  <si>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</si>
  <si>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</si>
  <si>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</si>
  <si>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</si>
  <si>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</si>
  <si>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</si>
  <si>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</si>
  <si>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</si>
  <si>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</si>
  <si>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</si>
  <si>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</si>
  <si>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</si>
  <si>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</si>
  <si>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</si>
  <si>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</si>
  <si>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</si>
  <si>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</si>
  <si>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</si>
  <si>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</si>
  <si>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</si>
  <si>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</si>
  <si>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</si>
  <si>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</si>
  <si>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</si>
  <si>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</si>
  <si>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</si>
  <si>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</si>
  <si>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</si>
  <si>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</si>
  <si>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</si>
  <si>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</si>
  <si>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</si>
  <si>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</si>
  <si>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</si>
  <si>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</si>
  <si>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</si>
  <si>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</si>
  <si>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</si>
  <si>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</si>
  <si>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</si>
  <si>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</si>
  <si>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</si>
  <si>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</si>
  <si>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</si>
  <si>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</si>
  <si>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</si>
  <si>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</si>
  <si>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</si>
  <si>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</si>
  <si>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</si>
  <si>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</si>
  <si>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</si>
  <si>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</si>
  <si>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</si>
  <si>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</si>
  <si>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</si>
  <si>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</si>
  <si>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</si>
  <si>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</si>
  <si>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</si>
  <si>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</si>
  <si>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</si>
  <si>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</si>
  <si>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</si>
  <si>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</si>
  <si>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</si>
  <si>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</si>
  <si>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</si>
  <si>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</si>
  <si>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</si>
  <si>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</si>
  <si>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</si>
  <si>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</si>
  <si>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</si>
  <si>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</si>
  <si>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</si>
  <si>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</si>
  <si>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</si>
  <si>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</si>
  <si>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</si>
  <si>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</si>
  <si>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</si>
  <si>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</si>
  <si>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</si>
  <si>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</si>
  <si>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</si>
  <si>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</si>
  <si>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</si>
  <si>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</si>
  <si>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</si>
  <si>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</si>
  <si>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</si>
  <si>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</si>
  <si>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</si>
  <si>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</si>
  <si>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</si>
  <si>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</si>
  <si>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</si>
  <si>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</si>
  <si>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</si>
  <si>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</si>
  <si>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</si>
  <si>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</si>
  <si>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</si>
  <si>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</si>
  <si>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</si>
  <si>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</si>
  <si>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</si>
  <si>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</si>
  <si>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</si>
  <si>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</si>
  <si>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</si>
  <si>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</si>
  <si>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</si>
  <si>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</si>
  <si>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</si>
  <si>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</si>
  <si>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</si>
  <si>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</si>
  <si>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</si>
  <si>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</si>
  <si>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</si>
  <si>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</si>
  <si>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</si>
  <si>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</si>
  <si>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</si>
  <si>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</si>
  <si>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</si>
  <si>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</si>
  <si>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</si>
  <si>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</si>
  <si>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</si>
  <si>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</si>
  <si>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</si>
  <si>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</si>
  <si>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</si>
  <si>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</si>
  <si>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</si>
  <si>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</si>
  <si>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</si>
  <si>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</si>
  <si>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</si>
  <si>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</si>
  <si>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</si>
  <si>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</si>
  <si>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</si>
  <si>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</si>
  <si>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</si>
  <si>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</si>
  <si>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</si>
  <si>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</si>
  <si>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</si>
  <si>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</si>
  <si>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</si>
  <si>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</si>
  <si>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</si>
  <si>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</si>
  <si>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</si>
  <si>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</si>
  <si>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</si>
  <si>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</si>
  <si>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</si>
  <si>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</si>
  <si>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</si>
  <si>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</si>
  <si>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</si>
  <si>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</si>
  <si>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</si>
  <si>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</si>
  <si>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</si>
  <si>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</si>
  <si>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</si>
  <si>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</si>
  <si>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</si>
  <si>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</si>
  <si>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</si>
  <si>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</si>
  <si>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</si>
  <si>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</si>
  <si>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</si>
  <si>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</si>
  <si>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</si>
  <si>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</si>
  <si>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</si>
  <si>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</si>
  <si>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</si>
  <si>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</si>
  <si>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</si>
  <si>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</si>
  <si>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</si>
  <si>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</si>
  <si>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</si>
  <si>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</si>
  <si>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</si>
  <si>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</si>
  <si>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</si>
  <si>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</si>
  <si>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</si>
  <si>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</si>
  <si>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</si>
  <si>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</si>
  <si>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</si>
  <si>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</si>
  <si>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</si>
  <si>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</si>
  <si>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</si>
  <si>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</si>
  <si>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</si>
  <si>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</si>
  <si>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</si>
  <si>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</si>
  <si>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</si>
  <si>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</si>
  <si>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</si>
  <si>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</si>
  <si>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</si>
  <si>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</si>
  <si>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</si>
  <si>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</si>
  <si>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</si>
  <si>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</si>
  <si>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</si>
  <si>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</si>
  <si>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</si>
  <si>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</si>
  <si>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</si>
  <si>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</si>
  <si>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</si>
  <si>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</si>
  <si>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</si>
  <si>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</si>
  <si>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</si>
  <si>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</si>
  <si>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</si>
  <si>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</si>
  <si>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</si>
  <si>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</si>
  <si>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</si>
  <si>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</si>
  <si>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</si>
  <si>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</si>
  <si>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</si>
  <si>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</si>
  <si>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</si>
  <si>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</si>
  <si>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</si>
  <si>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</si>
  <si>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</si>
  <si>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</si>
  <si>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</si>
  <si>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</si>
  <si>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</si>
  <si>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</si>
  <si>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</si>
  <si>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</si>
  <si>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</si>
  <si>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</si>
  <si>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</si>
  <si>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</si>
  <si>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</si>
  <si>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</si>
  <si>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</si>
  <si>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</si>
  <si>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</si>
  <si>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</si>
  <si>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</si>
  <si>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</si>
  <si>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</si>
  <si>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</si>
  <si>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</si>
  <si>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</si>
  <si>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</si>
  <si>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</si>
  <si>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</si>
  <si>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</si>
  <si>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</si>
  <si>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</si>
  <si>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</si>
  <si>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</si>
  <si>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</si>
  <si>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</si>
  <si>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</si>
  <si>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</si>
  <si>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</si>
  <si>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</si>
  <si>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</si>
  <si>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</si>
  <si>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</si>
  <si>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</si>
  <si>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</si>
  <si>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</si>
  <si>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</si>
  <si>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</si>
  <si>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</si>
  <si>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</si>
  <si>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</si>
  <si>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</si>
  <si>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</si>
  <si>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</si>
  <si>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</si>
  <si>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</si>
  <si>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</si>
  <si>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</si>
  <si>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</si>
  <si>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</si>
  <si>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</si>
  <si>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</si>
  <si>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</si>
  <si>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</si>
  <si>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</si>
  <si>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</si>
  <si>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</si>
  <si>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</si>
  <si>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</si>
  <si>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</si>
  <si>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</si>
  <si>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</si>
  <si>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</si>
  <si>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</si>
  <si>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</si>
  <si>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</si>
  <si>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</si>
  <si>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</si>
  <si>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</si>
  <si>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</si>
  <si>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</si>
  <si>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</si>
  <si>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</si>
  <si>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</si>
  <si>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</si>
  <si>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</si>
  <si>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</si>
  <si>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</si>
  <si>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</si>
  <si>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</si>
  <si>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</si>
  <si>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</si>
  <si>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</si>
  <si>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</si>
  <si>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</si>
  <si>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</si>
  <si>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</si>
  <si>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</si>
  <si>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</si>
  <si>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</si>
  <si>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</si>
  <si>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</si>
  <si>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</si>
  <si>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</si>
  <si>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</si>
  <si>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</si>
  <si>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</si>
  <si>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</si>
  <si>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</si>
  <si>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</si>
  <si>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</si>
  <si>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</si>
  <si>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</si>
  <si>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</si>
  <si>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</si>
  <si>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</si>
  <si>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</si>
  <si>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</si>
  <si>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</si>
  <si>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</si>
  <si>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</si>
  <si>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</si>
  <si>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</si>
  <si>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</si>
  <si>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</si>
  <si>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</si>
  <si>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</si>
  <si>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</si>
  <si>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</si>
  <si>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</si>
  <si>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</si>
  <si>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</si>
  <si>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</si>
  <si>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</si>
  <si>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</si>
  <si>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</si>
  <si>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</si>
  <si>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</si>
  <si>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</si>
  <si>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</si>
  <si>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</si>
  <si>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</si>
  <si>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</si>
  <si>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</si>
  <si>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</si>
  <si>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</si>
  <si>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</si>
  <si>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</si>
  <si>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</si>
  <si>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</si>
  <si>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</si>
  <si>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</si>
  <si>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</si>
  <si>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</si>
  <si>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</si>
  <si>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</si>
  <si>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</si>
  <si>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</si>
  <si>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</si>
  <si>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</si>
  <si>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</si>
  <si>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</si>
  <si>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</si>
  <si>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</si>
  <si>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</si>
  <si>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</si>
  <si>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</si>
  <si>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</si>
  <si>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</si>
  <si>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</si>
  <si>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</si>
  <si>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</si>
  <si>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</si>
  <si>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</si>
  <si>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</si>
  <si>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</si>
  <si>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</si>
  <si>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</si>
  <si>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</si>
  <si>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</si>
  <si>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</si>
  <si>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</si>
  <si>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</si>
  <si>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</si>
  <si>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</si>
  <si>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</si>
  <si>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</si>
  <si>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</si>
  <si>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</si>
  <si>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</si>
  <si>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</si>
  <si>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</si>
  <si>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</si>
  <si>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</si>
  <si>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</si>
  <si>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</si>
  <si>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</si>
  <si>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</si>
  <si>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</si>
  <si>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</si>
  <si>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</si>
  <si>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</si>
  <si>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</si>
  <si>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</si>
  <si>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</si>
  <si>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</si>
  <si>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</si>
  <si>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</si>
  <si>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</si>
  <si>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</si>
  <si>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</si>
  <si>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</si>
  <si>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</si>
  <si>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</si>
  <si>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</si>
  <si>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</si>
  <si>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</si>
  <si>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</si>
  <si>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</si>
  <si>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</si>
  <si>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</si>
  <si>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</si>
  <si>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</si>
  <si>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</si>
  <si>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</si>
  <si>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</si>
  <si>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</si>
  <si>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</si>
  <si>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</si>
  <si>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</si>
  <si>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</si>
  <si>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</si>
  <si>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</si>
  <si>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</si>
  <si>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</si>
  <si>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</si>
  <si>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</si>
  <si>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</si>
  <si>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</si>
  <si>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</si>
  <si>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</si>
  <si>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</si>
  <si>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</si>
  <si>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</si>
  <si>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</si>
  <si>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</si>
  <si>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</si>
  <si>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</si>
  <si>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</si>
  <si>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</si>
  <si>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</si>
  <si>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</si>
  <si>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</si>
  <si>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</si>
  <si>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</si>
  <si>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</si>
  <si>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</si>
  <si>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</si>
  <si>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</si>
  <si>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</si>
  <si>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</si>
  <si>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</si>
  <si>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</si>
  <si>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</si>
  <si>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</si>
  <si>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</si>
  <si>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</si>
  <si>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</si>
  <si>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</si>
  <si>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</si>
  <si>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</si>
  <si>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</si>
  <si>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</si>
  <si>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</si>
  <si>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</si>
  <si>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</si>
  <si>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</si>
  <si>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</si>
  <si>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</si>
  <si>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</si>
  <si>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</si>
  <si>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</si>
  <si>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</si>
  <si>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</si>
  <si>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</si>
  <si>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</si>
  <si>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</si>
  <si>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</si>
  <si>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</si>
  <si>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</si>
  <si>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</si>
  <si>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</si>
  <si>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</si>
  <si>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</si>
  <si>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</si>
  <si>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</si>
  <si>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</si>
  <si>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</si>
  <si>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</si>
  <si>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</si>
  <si>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</si>
  <si>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</si>
  <si>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</si>
  <si>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</si>
  <si>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</si>
  <si>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</si>
  <si>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</si>
  <si>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</si>
  <si>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</si>
  <si>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</si>
  <si>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</si>
  <si>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</si>
  <si>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</si>
  <si>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</si>
  <si>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</si>
  <si>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</si>
  <si>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</si>
  <si>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</si>
  <si>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</si>
  <si>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</si>
  <si>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</si>
  <si>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</si>
  <si>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</si>
  <si>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</si>
  <si>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</si>
  <si>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</si>
  <si>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</si>
  <si>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</si>
  <si>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</si>
  <si>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</si>
  <si>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</si>
  <si>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</si>
  <si>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</si>
  <si>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</si>
  <si>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</si>
  <si>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</si>
  <si>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</si>
  <si>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</si>
  <si>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</si>
  <si>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</si>
  <si>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</si>
  <si>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</si>
  <si>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</si>
  <si>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</si>
  <si>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</si>
  <si>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</si>
  <si>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</si>
  <si>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</si>
  <si>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</si>
  <si>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</si>
  <si>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</si>
  <si>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</si>
  <si>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</si>
  <si>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</si>
  <si>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</si>
  <si>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</si>
  <si>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</si>
  <si>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</si>
  <si>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</si>
  <si>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</si>
  <si>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</si>
  <si>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</si>
  <si>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</si>
  <si>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</si>
  <si>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</si>
  <si>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</si>
  <si>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</si>
  <si>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</si>
  <si>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</si>
  <si>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</si>
  <si>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</si>
  <si>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</si>
  <si>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</si>
  <si>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</si>
  <si>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</si>
  <si>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</si>
  <si>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</si>
  <si>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</si>
  <si>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</si>
  <si>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</si>
  <si>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</si>
  <si>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</si>
  <si>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</si>
  <si>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</si>
  <si>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</si>
  <si>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</si>
  <si>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</si>
  <si>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</si>
  <si>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</si>
  <si>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</si>
  <si>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</si>
  <si>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</si>
  <si>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</si>
  <si>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</si>
  <si>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</si>
  <si>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</si>
  <si>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</si>
  <si>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</si>
  <si>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</si>
  <si>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</si>
  <si>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</si>
  <si>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</si>
  <si>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</si>
  <si>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</si>
  <si>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</si>
  <si>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</si>
  <si>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</si>
  <si>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</si>
  <si>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</si>
  <si>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</si>
  <si>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</si>
  <si>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</si>
  <si>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</si>
  <si>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</si>
  <si>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</si>
  <si>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</si>
  <si>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</si>
  <si>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</si>
  <si>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</si>
  <si>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</si>
  <si>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</si>
  <si>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</si>
  <si>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</si>
  <si>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</si>
  <si>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</si>
  <si>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</si>
  <si>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</si>
  <si>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</si>
  <si>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</si>
  <si>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</si>
  <si>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</si>
  <si>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</si>
  <si>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</si>
  <si>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</si>
  <si>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</si>
  <si>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</si>
  <si>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</si>
  <si>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</si>
  <si>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</si>
  <si>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</si>
  <si>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</si>
  <si>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</si>
  <si>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</si>
  <si>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</si>
  <si>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</si>
  <si>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</si>
  <si>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</si>
  <si>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</si>
  <si>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</si>
  <si>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</si>
  <si>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</si>
  <si>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</si>
  <si>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</si>
  <si>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</si>
  <si>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</si>
  <si>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</si>
  <si>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</si>
  <si>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</si>
  <si>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</si>
  <si>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</si>
  <si>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</si>
  <si>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</si>
  <si>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</si>
  <si>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</si>
  <si>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</si>
  <si>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</si>
  <si>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</si>
  <si>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</si>
  <si>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</si>
  <si>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</si>
  <si>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</si>
  <si>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</si>
  <si>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</si>
  <si>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</si>
  <si>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</si>
  <si>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</si>
  <si>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</si>
  <si>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</si>
  <si>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</si>
  <si>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</si>
  <si>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</si>
  <si>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</si>
  <si>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</si>
  <si>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</si>
  <si>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</si>
  <si>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</si>
  <si>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</si>
  <si>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</si>
  <si>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</si>
  <si>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</si>
  <si>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</si>
  <si>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</si>
  <si>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</si>
  <si>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</si>
  <si>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</si>
  <si>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</si>
  <si>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</si>
  <si>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</si>
  <si>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</si>
  <si>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</si>
  <si>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</si>
  <si>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</si>
  <si>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</si>
  <si>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</si>
  <si>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</si>
  <si>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</si>
  <si>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</si>
  <si>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</si>
  <si>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</si>
  <si>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</si>
  <si>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</si>
  <si>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</si>
  <si>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</si>
  <si>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</si>
  <si>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</si>
  <si>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</si>
  <si>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</si>
  <si>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</si>
  <si>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</si>
  <si>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</si>
  <si>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</si>
  <si>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</si>
  <si>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</si>
  <si>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</si>
  <si>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</si>
  <si>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</si>
  <si>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</si>
  <si>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</si>
  <si>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</si>
  <si>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</si>
  <si>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</si>
  <si>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</si>
  <si>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</si>
  <si>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</si>
  <si>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</si>
  <si>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</si>
  <si>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</si>
  <si>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</si>
  <si>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</si>
  <si>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</si>
  <si>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</si>
  <si>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</si>
  <si>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</si>
  <si>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</si>
  <si>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</si>
  <si>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</si>
  <si>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</si>
  <si>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</si>
  <si>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</si>
  <si>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</si>
  <si>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</si>
  <si>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</si>
  <si>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</si>
  <si>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</si>
  <si>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</si>
  <si>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</si>
  <si>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</si>
  <si>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</si>
  <si>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</si>
  <si>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</si>
  <si>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</si>
  <si>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</si>
  <si>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</si>
  <si>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</si>
  <si>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</si>
  <si>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</si>
  <si>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</si>
  <si>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</si>
  <si>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</si>
  <si>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</si>
  <si>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</si>
  <si>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</si>
  <si>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</si>
  <si>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</si>
  <si>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</si>
  <si>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</si>
  <si>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</si>
  <si>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</si>
  <si>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</si>
  <si>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</si>
  <si>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</si>
  <si>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</si>
  <si>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</si>
  <si>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</si>
  <si>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</si>
  <si>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</si>
  <si>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</si>
  <si>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</si>
  <si>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</si>
  <si>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</si>
  <si>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</si>
  <si>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</si>
  <si>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</si>
  <si>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</si>
  <si>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</si>
  <si>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</si>
  <si>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</si>
  <si>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</si>
  <si>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</si>
  <si>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</si>
  <si>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</si>
  <si>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</si>
  <si>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</si>
  <si>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</si>
  <si>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</si>
  <si>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</si>
  <si>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</si>
  <si>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</si>
  <si>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</si>
  <si>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</si>
  <si>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</si>
  <si>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</si>
  <si>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</si>
  <si>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</si>
  <si>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</si>
  <si>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</si>
  <si>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</si>
  <si>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</si>
  <si>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</si>
  <si>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</si>
  <si>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</si>
  <si>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</si>
  <si>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</si>
  <si>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</si>
  <si>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</si>
  <si>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</si>
  <si>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</si>
  <si>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</si>
  <si>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</si>
  <si>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</si>
  <si>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</si>
  <si>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</si>
  <si>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</si>
  <si>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</si>
  <si>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</si>
  <si>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</si>
  <si>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</si>
  <si>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</si>
  <si>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</si>
  <si>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</si>
  <si>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</si>
  <si>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</si>
  <si>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</si>
  <si>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</si>
  <si>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</si>
  <si>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</si>
  <si>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</si>
  <si>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</si>
  <si>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</si>
  <si>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</si>
  <si>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</si>
  <si>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</si>
  <si>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</si>
  <si>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</si>
  <si>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</si>
  <si>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</si>
  <si>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</si>
  <si>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</si>
  <si>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</si>
  <si>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</si>
  <si>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</si>
  <si>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</si>
  <si>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</si>
  <si>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</si>
  <si>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</si>
  <si>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</si>
  <si>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</si>
  <si>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</si>
  <si>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</si>
  <si>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</si>
  <si>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</si>
  <si>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</si>
  <si>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</si>
  <si>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</si>
  <si>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</si>
  <si>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</si>
  <si>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</si>
  <si>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</si>
  <si>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</si>
  <si>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</si>
  <si>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</si>
  <si>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</si>
  <si>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</si>
  <si>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</si>
  <si>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</si>
  <si>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</si>
  <si>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</si>
  <si>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</si>
  <si>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</si>
  <si>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</si>
  <si>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</si>
  <si>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</si>
  <si>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</si>
  <si>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</si>
  <si>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</si>
  <si>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</si>
  <si>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</si>
  <si>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</si>
  <si>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</si>
  <si>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</si>
  <si>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</si>
  <si>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</si>
  <si>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</si>
  <si>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</si>
  <si>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</si>
  <si>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</si>
  <si>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</si>
  <si>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</si>
  <si>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</si>
  <si>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</si>
  <si>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</si>
  <si>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</si>
  <si>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</si>
  <si>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</si>
  <si>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</si>
  <si>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</si>
  <si>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</si>
  <si>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</si>
  <si>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</si>
  <si>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</si>
  <si>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</si>
  <si>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</si>
  <si>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</si>
  <si>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</si>
  <si>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</si>
  <si>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</si>
  <si>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</si>
  <si>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</si>
  <si>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</si>
  <si>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</si>
  <si>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</si>
  <si>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</si>
  <si>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</si>
  <si>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</si>
  <si>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</si>
  <si>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</si>
  <si>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</si>
  <si>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</si>
  <si>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</si>
  <si>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</si>
  <si>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</si>
  <si>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</si>
  <si>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</si>
  <si>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</si>
  <si>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</si>
  <si>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</si>
  <si>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</si>
  <si>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</si>
  <si>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</si>
  <si>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</si>
  <si>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</si>
  <si>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</si>
  <si>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</si>
  <si>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</si>
  <si>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</si>
  <si>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</si>
  <si>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</si>
  <si>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</si>
  <si>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</si>
  <si>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</si>
  <si>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</si>
  <si>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</si>
  <si>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</si>
  <si>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</si>
  <si>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</si>
  <si>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</si>
  <si>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</si>
  <si>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</si>
  <si>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</si>
  <si>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</si>
  <si>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</si>
  <si>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</si>
  <si>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</si>
  <si>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</si>
  <si>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</si>
  <si>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</si>
  <si>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</si>
  <si>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</si>
  <si>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</si>
  <si>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</si>
  <si>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</si>
  <si>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</si>
  <si>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</si>
  <si>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</si>
  <si>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</si>
  <si>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</si>
  <si>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</si>
  <si>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</si>
  <si>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</si>
  <si>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</si>
  <si>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</si>
  <si>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</si>
  <si>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</si>
  <si>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</si>
  <si>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</si>
  <si>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</si>
  <si>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</si>
  <si>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</si>
  <si>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</si>
  <si>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</si>
  <si>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</si>
  <si>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</si>
  <si>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</si>
  <si>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</si>
  <si>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</si>
  <si>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</si>
  <si>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</si>
  <si>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</si>
  <si>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</si>
  <si>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</si>
  <si>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</si>
  <si>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</si>
  <si>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</si>
  <si>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</si>
  <si>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</si>
  <si>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</si>
  <si>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</si>
  <si>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</si>
  <si>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</si>
  <si>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</si>
  <si>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</si>
  <si>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</si>
  <si>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</si>
  <si>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</si>
  <si>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</si>
  <si>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</si>
  <si>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</si>
  <si>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</si>
  <si>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</si>
  <si>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</si>
  <si>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</si>
  <si>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</si>
  <si>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</si>
  <si>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</si>
  <si>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</si>
  <si>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</si>
  <si>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</si>
  <si>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</si>
  <si>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</si>
  <si>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</si>
  <si>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</si>
  <si>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</si>
  <si>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</si>
  <si>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</si>
  <si>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</si>
  <si>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</si>
  <si>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</si>
  <si>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</si>
  <si>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</si>
  <si>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</si>
  <si>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</si>
  <si>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</si>
  <si>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</si>
  <si>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</si>
  <si>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</si>
  <si>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</si>
  <si>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</si>
  <si>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</si>
  <si>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</si>
  <si>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</si>
  <si>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</si>
  <si>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</si>
  <si>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</si>
  <si>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</si>
  <si>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</si>
  <si>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</si>
  <si>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</si>
  <si>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</si>
  <si>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</si>
  <si>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</si>
  <si>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</si>
  <si>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</si>
  <si>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</si>
  <si>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</si>
  <si>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</si>
  <si>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</si>
  <si>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</si>
  <si>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</si>
  <si>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</si>
  <si>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</si>
  <si>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</si>
  <si>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</si>
  <si>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</si>
  <si>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</si>
  <si>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</si>
  <si>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</si>
  <si>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</si>
  <si>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</si>
  <si>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</si>
  <si>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</si>
  <si>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</si>
  <si>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</si>
  <si>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</si>
  <si>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</si>
  <si>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</si>
  <si>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</si>
  <si>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</si>
  <si>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</si>
  <si>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</si>
  <si>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</si>
  <si>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</si>
  <si>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</si>
  <si>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</si>
  <si>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</si>
  <si>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</si>
  <si>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</si>
  <si>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</si>
  <si>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</si>
  <si>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</si>
  <si>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</si>
  <si>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</si>
  <si>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</si>
  <si>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</si>
  <si>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</si>
  <si>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</si>
  <si>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</si>
  <si>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</si>
  <si>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</si>
  <si>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</si>
  <si>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</si>
  <si>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</si>
  <si>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</si>
  <si>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</si>
  <si>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</si>
  <si>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</si>
  <si>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</si>
  <si>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</si>
  <si>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</si>
  <si>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</si>
  <si>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</si>
  <si>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</si>
  <si>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</si>
  <si>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</si>
  <si>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</si>
  <si>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</si>
  <si>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</si>
  <si>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</si>
  <si>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</si>
  <si>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</si>
  <si>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</si>
  <si>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</si>
  <si>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</si>
  <si>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</si>
  <si>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</si>
  <si>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</si>
  <si>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</si>
  <si>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</si>
  <si>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</si>
  <si>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</si>
  <si>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</si>
  <si>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</si>
  <si>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</si>
  <si>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</si>
  <si>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</si>
  <si>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</si>
  <si>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</si>
  <si>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</si>
  <si>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</si>
  <si>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</si>
  <si>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</si>
  <si>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</si>
  <si>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</si>
  <si>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</si>
  <si>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</si>
  <si>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</si>
  <si>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</si>
  <si>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</si>
  <si>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</si>
  <si>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</si>
  <si>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</si>
  <si>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</si>
  <si>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</si>
  <si>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</si>
  <si>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</si>
  <si>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</si>
  <si>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</si>
  <si>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</si>
  <si>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</si>
  <si>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</si>
  <si>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</si>
  <si>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</si>
  <si>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</si>
  <si>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</si>
  <si>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</si>
  <si>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</si>
  <si>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</si>
  <si>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</si>
  <si>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</si>
  <si>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</si>
  <si>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</si>
  <si>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</si>
  <si>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</si>
  <si>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</si>
  <si>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</si>
  <si>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</si>
  <si>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</si>
  <si>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</si>
  <si>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</si>
  <si>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</si>
  <si>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</si>
  <si>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</si>
  <si>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</si>
  <si>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</si>
  <si>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</si>
  <si>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</si>
  <si>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</si>
  <si>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</si>
  <si>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</si>
  <si>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</si>
  <si>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</si>
  <si>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</si>
  <si>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</si>
  <si>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</si>
  <si>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</si>
  <si>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</si>
  <si>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</si>
  <si>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</si>
  <si>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</si>
  <si>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</si>
  <si>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</si>
  <si>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</si>
  <si>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</si>
  <si>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</si>
  <si>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</si>
  <si>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</si>
  <si>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</si>
  <si>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</si>
  <si>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</si>
  <si>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</si>
  <si>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</si>
  <si>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</si>
  <si>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</si>
  <si>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</si>
  <si>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</si>
  <si>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</si>
  <si>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</si>
  <si>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</si>
  <si>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</si>
  <si>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</si>
  <si>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</si>
  <si>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</si>
  <si>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</si>
  <si>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</si>
  <si>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</si>
  <si>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</si>
  <si>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</si>
  <si>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</si>
  <si>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</si>
  <si>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</si>
  <si>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</si>
  <si>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</si>
  <si>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</si>
  <si>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</si>
  <si>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</si>
  <si>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</si>
  <si>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</si>
  <si>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</si>
  <si>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</si>
  <si>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</si>
  <si>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</si>
  <si>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</si>
  <si>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</si>
  <si>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</si>
  <si>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</si>
  <si>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</si>
  <si>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</si>
  <si>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</si>
  <si>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</si>
  <si>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</si>
  <si>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</si>
  <si>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</si>
  <si>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</si>
  <si>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</si>
  <si>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</si>
  <si>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</si>
  <si>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</si>
  <si>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</si>
  <si>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</si>
  <si>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</si>
  <si>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</si>
  <si>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</si>
  <si>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</si>
  <si>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</si>
  <si>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</si>
  <si>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</si>
  <si>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</si>
  <si>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</si>
  <si>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</si>
  <si>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</si>
  <si>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</si>
  <si>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</si>
  <si>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</si>
  <si>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</si>
  <si>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</si>
  <si>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</si>
  <si>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</si>
  <si>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</si>
  <si>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</si>
  <si>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</si>
  <si>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</si>
  <si>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</si>
  <si>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</si>
  <si>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</si>
  <si>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</si>
  <si>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</si>
  <si>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</si>
  <si>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</si>
  <si>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</si>
  <si>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</si>
  <si>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</si>
  <si>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</si>
  <si>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</si>
  <si>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</si>
  <si>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</si>
  <si>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</si>
  <si>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</si>
  <si>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</si>
  <si>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</si>
  <si>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</si>
  <si>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</si>
  <si>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</si>
  <si>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</si>
  <si>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</si>
  <si>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</si>
  <si>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</si>
  <si>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</si>
  <si>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</si>
  <si>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</si>
  <si>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</si>
  <si>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</si>
  <si>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</si>
  <si>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</si>
  <si>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</si>
  <si>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</si>
  <si>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</si>
  <si>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</si>
  <si>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</si>
  <si>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</si>
  <si>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</si>
  <si>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</si>
  <si>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</si>
  <si>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</si>
  <si>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</si>
  <si>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</si>
  <si>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</si>
  <si>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</si>
  <si>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</si>
  <si>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</si>
  <si>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</si>
  <si>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</si>
  <si>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</si>
  <si>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</si>
  <si>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</si>
  <si>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</si>
  <si>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</si>
  <si>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</si>
  <si>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</si>
  <si>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</si>
  <si>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</si>
  <si>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</si>
  <si>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</si>
  <si>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</si>
  <si>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</si>
  <si>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</si>
  <si>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</si>
  <si>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</si>
  <si>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</si>
  <si>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</si>
  <si>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</si>
  <si>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</si>
  <si>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</si>
  <si>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</si>
  <si>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</si>
  <si>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</si>
  <si>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</si>
  <si>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</si>
  <si>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</si>
  <si>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</si>
  <si>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</si>
  <si>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</si>
  <si>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</si>
  <si>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</si>
  <si>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</si>
  <si>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</si>
  <si>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</si>
  <si>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</si>
  <si>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</si>
  <si>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</si>
  <si>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</si>
  <si>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</si>
  <si>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</si>
  <si>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</si>
  <si>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</si>
  <si>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</si>
  <si>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</si>
  <si>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</si>
  <si>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</si>
  <si>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</si>
  <si>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</si>
  <si>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</si>
  <si>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</si>
  <si>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</si>
  <si>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</si>
  <si>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</si>
  <si>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</si>
  <si>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</si>
  <si>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</si>
  <si>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</si>
  <si>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</si>
  <si>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</si>
  <si>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</si>
  <si>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</si>
  <si>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</si>
  <si>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</si>
  <si>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</si>
  <si>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</si>
  <si>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</si>
  <si>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</si>
  <si>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</si>
  <si>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</si>
  <si>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</si>
  <si>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</si>
  <si>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</si>
  <si>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</si>
  <si>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</si>
  <si>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</si>
  <si>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</si>
  <si>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</si>
  <si>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</si>
  <si>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</si>
  <si>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</si>
  <si>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</si>
  <si>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</si>
  <si>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</si>
  <si>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</si>
  <si>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</si>
  <si>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</si>
  <si>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</si>
  <si>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</si>
  <si>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</si>
  <si>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</si>
  <si>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</si>
  <si>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</si>
  <si>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</si>
  <si>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</si>
  <si>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</si>
  <si>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</si>
  <si>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</si>
  <si>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</si>
  <si>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</si>
  <si>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</si>
  <si>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</si>
  <si>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</si>
  <si>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</si>
  <si>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</si>
  <si>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</si>
  <si>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</si>
  <si>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</si>
  <si>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</si>
  <si>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</si>
  <si>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</si>
  <si>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</si>
  <si>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</si>
  <si>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</si>
  <si>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</si>
  <si>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</si>
  <si>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</si>
  <si>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</si>
  <si>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</si>
  <si>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</si>
  <si>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</si>
  <si>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</si>
  <si>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</si>
  <si>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</si>
  <si>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</si>
  <si>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</si>
  <si>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</si>
  <si>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</si>
  <si>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</si>
  <si>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</si>
  <si>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</si>
  <si>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</si>
  <si>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</si>
  <si>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</si>
  <si>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</si>
  <si>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</si>
  <si>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</si>
  <si>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</si>
  <si>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</si>
  <si>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</si>
  <si>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</si>
  <si>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</si>
  <si>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</si>
  <si>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</si>
  <si>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</si>
  <si>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</si>
  <si>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</si>
  <si>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</si>
  <si>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</si>
  <si>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</si>
  <si>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</si>
  <si>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</si>
  <si>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</si>
  <si>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</si>
  <si>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</si>
  <si>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</si>
  <si>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</si>
  <si>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</si>
  <si>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</si>
  <si>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</si>
  <si>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</si>
  <si>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</si>
  <si>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</si>
  <si>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</si>
  <si>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</si>
  <si>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</si>
  <si>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</si>
  <si>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</si>
  <si>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</si>
  <si>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</si>
  <si>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</si>
  <si>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</si>
  <si>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</si>
  <si>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</si>
  <si>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</si>
  <si>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</si>
  <si>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</si>
  <si>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</si>
  <si>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</si>
  <si>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</si>
  <si>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</si>
  <si>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</si>
  <si>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</si>
  <si>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</si>
  <si>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</si>
  <si>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</si>
  <si>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</si>
  <si>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</si>
  <si>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</si>
  <si>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</si>
  <si>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</si>
  <si>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</si>
  <si>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</si>
  <si>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</si>
  <si>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</si>
  <si>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</si>
  <si>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</si>
  <si>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</si>
  <si>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</si>
  <si>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</si>
  <si>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</si>
  <si>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</si>
  <si>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</si>
  <si>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</si>
  <si>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</si>
  <si>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</si>
  <si>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</si>
  <si>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</si>
  <si>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</si>
  <si>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</si>
  <si>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</si>
  <si>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</si>
  <si>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</si>
  <si>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</si>
  <si>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</si>
  <si>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</si>
  <si>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</si>
  <si>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</si>
  <si>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</si>
  <si>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</si>
  <si>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</si>
  <si>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</si>
  <si>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</si>
  <si>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</si>
  <si>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</si>
  <si>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</si>
  <si>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</si>
  <si>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</si>
  <si>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</si>
  <si>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</si>
  <si>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</si>
  <si>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</si>
  <si>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</si>
  <si>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</si>
  <si>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</si>
  <si>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</si>
  <si>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</si>
  <si>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</si>
  <si>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</si>
  <si>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</si>
  <si>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</si>
  <si>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</si>
  <si>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</si>
  <si>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</si>
  <si>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</si>
  <si>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</si>
  <si>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</si>
  <si>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</si>
  <si>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</si>
  <si>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</si>
  <si>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</si>
  <si>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</si>
  <si>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</si>
  <si>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</si>
  <si>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</si>
  <si>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</si>
  <si>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</si>
  <si>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</si>
  <si>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</si>
  <si>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</si>
  <si>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</si>
  <si>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</si>
  <si>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</si>
  <si>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</si>
  <si>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</si>
  <si>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</si>
  <si>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</si>
  <si>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</si>
  <si>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</si>
  <si>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</si>
  <si>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</si>
  <si>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</si>
  <si>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</si>
  <si>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</si>
  <si>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</si>
  <si>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</si>
  <si>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</si>
  <si>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</si>
  <si>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</si>
  <si>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</si>
  <si>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</si>
  <si>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</si>
  <si>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</si>
  <si>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</si>
  <si>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</si>
  <si>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</si>
  <si>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</si>
  <si>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</si>
  <si>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</si>
  <si>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</si>
  <si>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</si>
  <si>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</si>
  <si>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</si>
  <si>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</si>
  <si>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</si>
  <si>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</si>
  <si>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</si>
  <si>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</si>
  <si>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</si>
  <si>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</si>
  <si>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</si>
  <si>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</si>
  <si>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</si>
  <si>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</si>
  <si>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</si>
  <si>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</si>
  <si>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</si>
  <si>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</si>
  <si>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</si>
  <si>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</si>
  <si>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</si>
  <si>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</si>
  <si>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</si>
  <si>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</si>
  <si>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</si>
  <si>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</si>
  <si>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</si>
  <si>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</si>
  <si>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</si>
  <si>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</si>
  <si>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</si>
  <si>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</si>
  <si>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</si>
  <si>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</si>
  <si>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</si>
  <si>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</si>
  <si>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</si>
  <si>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</si>
  <si>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</si>
  <si>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</si>
  <si>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</si>
  <si>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</si>
  <si>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</si>
  <si>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</si>
  <si>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</si>
  <si>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</si>
  <si>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</si>
  <si>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</si>
  <si>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</si>
  <si>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</si>
  <si>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</si>
  <si>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</si>
  <si>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</si>
  <si>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</si>
  <si>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</si>
  <si>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</si>
  <si>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</si>
  <si>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</si>
  <si>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</si>
  <si>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</si>
  <si>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</si>
  <si>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</si>
  <si>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</si>
  <si>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</si>
  <si>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</si>
  <si>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</si>
  <si>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</si>
  <si>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</si>
  <si>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</si>
  <si>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</si>
  <si>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</si>
  <si>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</si>
  <si>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</si>
  <si>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</si>
  <si>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</si>
  <si>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</si>
  <si>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</si>
  <si>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</si>
  <si>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</si>
  <si>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</si>
  <si>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</si>
  <si>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</si>
  <si>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</si>
  <si>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</si>
  <si>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</si>
  <si>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</si>
  <si>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</si>
  <si>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</si>
  <si>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</si>
  <si>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</si>
  <si>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</si>
  <si>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</si>
  <si>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</si>
  <si>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</si>
  <si>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</si>
  <si>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</si>
  <si>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</si>
  <si>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</si>
  <si>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</si>
  <si>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</si>
  <si>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</si>
  <si>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</si>
  <si>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</si>
  <si>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</si>
  <si>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</si>
  <si>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</si>
  <si>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</si>
  <si>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</si>
  <si>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</si>
  <si>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</si>
  <si>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</si>
  <si>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</si>
  <si>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</si>
  <si>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</si>
  <si>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</si>
  <si>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</si>
  <si>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</si>
  <si>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</si>
  <si>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</si>
  <si>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</si>
  <si>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</si>
  <si>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</si>
  <si>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</si>
  <si>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</si>
  <si>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</si>
  <si>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</si>
  <si>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</si>
  <si>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</si>
  <si>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</si>
  <si>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</si>
  <si>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</si>
  <si>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</si>
  <si>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</si>
  <si>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</si>
  <si>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</si>
  <si>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</si>
  <si>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</si>
  <si>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</si>
  <si>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</si>
  <si>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</si>
  <si>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</si>
  <si>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</si>
  <si>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</si>
  <si>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</si>
  <si>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</si>
  <si>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</si>
  <si>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</si>
  <si>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</si>
  <si>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</si>
  <si>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</si>
  <si>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</si>
  <si>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</si>
  <si>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</si>
  <si>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</si>
  <si>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</si>
  <si>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</si>
  <si>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</si>
  <si>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</si>
  <si>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</si>
  <si>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</si>
  <si>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</si>
  <si>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</si>
  <si>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</si>
  <si>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</si>
  <si>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</si>
  <si>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</si>
  <si>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</si>
  <si>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</si>
  <si>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</si>
  <si>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</si>
  <si>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</si>
  <si>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</si>
  <si>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</si>
  <si>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</si>
  <si>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</si>
  <si>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</si>
  <si>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</si>
  <si>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</si>
  <si>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</si>
  <si>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</si>
  <si>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</si>
  <si>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</si>
  <si>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</si>
  <si>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</si>
  <si>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</si>
  <si>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</si>
  <si>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</si>
  <si>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</si>
  <si>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</si>
  <si>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</si>
  <si>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</si>
  <si>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</si>
  <si>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</si>
  <si>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</si>
  <si>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</si>
  <si>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</si>
  <si>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</si>
  <si>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</si>
  <si>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</si>
  <si>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</si>
  <si>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</si>
  <si>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</si>
  <si>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</si>
  <si>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</si>
  <si>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</si>
  <si>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</si>
  <si>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</si>
  <si>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</si>
  <si>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</si>
  <si>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</si>
  <si>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</si>
  <si>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</si>
  <si>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</si>
  <si>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</si>
  <si>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</si>
  <si>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</si>
  <si>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</si>
  <si>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</si>
  <si>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</si>
  <si>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</si>
  <si>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</si>
  <si>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</si>
  <si>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</si>
  <si>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</si>
  <si>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</si>
  <si>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</si>
  <si>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</si>
  <si>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</si>
  <si>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</si>
  <si>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</si>
  <si>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</si>
  <si>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</si>
  <si>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</si>
  <si>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</si>
  <si>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</si>
  <si>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</si>
  <si>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</si>
  <si>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</si>
  <si>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</si>
  <si>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</si>
  <si>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</si>
  <si>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</si>
  <si>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</si>
  <si>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</si>
  <si>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</si>
  <si>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</si>
  <si>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</si>
  <si>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</si>
  <si>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</si>
  <si>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</si>
  <si>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</si>
  <si>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</si>
  <si>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</si>
  <si>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</si>
  <si>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</si>
  <si>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</si>
  <si>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</si>
  <si>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</si>
  <si>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</si>
  <si>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</si>
  <si>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</si>
  <si>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</si>
  <si>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</si>
  <si>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</si>
  <si>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</si>
  <si>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</si>
  <si>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</si>
  <si>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</si>
  <si>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</si>
  <si>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</si>
  <si>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</si>
  <si>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</si>
  <si>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</si>
  <si>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</si>
  <si>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</si>
  <si>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</si>
  <si>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</si>
  <si>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</si>
  <si>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</si>
  <si>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</si>
  <si>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</si>
  <si>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</si>
  <si>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</si>
  <si>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</si>
  <si>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</si>
  <si>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</si>
  <si>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</si>
  <si>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</si>
  <si>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</si>
  <si>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</si>
  <si>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</si>
  <si>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</si>
  <si>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</si>
  <si>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</si>
  <si>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</si>
  <si>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</si>
  <si>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</si>
  <si>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</si>
  <si>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</si>
  <si>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</si>
  <si>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</si>
  <si>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</si>
  <si>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</si>
  <si>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</si>
  <si>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</si>
  <si>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</si>
  <si>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</si>
  <si>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</si>
  <si>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</si>
  <si>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</si>
  <si>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</si>
  <si>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</si>
  <si>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</si>
  <si>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</si>
  <si>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</si>
  <si>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</si>
  <si>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</si>
  <si>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</si>
  <si>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</si>
  <si>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</si>
  <si>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</si>
  <si>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</si>
  <si>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</si>
  <si>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</si>
  <si>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</si>
  <si>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</si>
  <si>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</si>
  <si>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</si>
  <si>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</si>
  <si>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</si>
  <si>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</si>
  <si>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</si>
  <si>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</si>
  <si>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</si>
  <si>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</si>
  <si>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</si>
  <si>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</si>
  <si>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</si>
  <si>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</si>
  <si>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</si>
  <si>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</si>
  <si>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</si>
  <si>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</si>
  <si>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</si>
  <si>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</si>
  <si>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</si>
  <si>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</si>
  <si>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</si>
  <si>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</si>
  <si>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</si>
  <si>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</si>
  <si>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</si>
  <si>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</si>
  <si>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</si>
  <si>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</si>
  <si>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</si>
  <si>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</si>
  <si>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</si>
  <si>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</si>
  <si>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</si>
  <si>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</si>
  <si>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</si>
  <si>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</si>
  <si>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</si>
  <si>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</si>
  <si>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</si>
  <si>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</si>
  <si>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</si>
  <si>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</si>
  <si>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</si>
  <si>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</si>
  <si>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</si>
  <si>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</si>
  <si>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</si>
  <si>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</si>
  <si>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</si>
  <si>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</si>
  <si>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</si>
  <si>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</si>
  <si>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</si>
  <si>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</si>
  <si>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</si>
  <si>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</si>
  <si>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</si>
  <si>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</si>
  <si>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</si>
  <si>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</si>
  <si>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</si>
  <si>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</si>
  <si>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</si>
  <si>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</si>
  <si>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</si>
  <si>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</si>
  <si>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</si>
  <si>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</si>
  <si>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</si>
  <si>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</si>
  <si>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</si>
  <si>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</si>
  <si>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</si>
  <si>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</si>
  <si>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</si>
  <si>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</si>
  <si>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</si>
  <si>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</si>
  <si>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</si>
  <si>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</si>
  <si>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</si>
  <si>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</si>
  <si>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</si>
  <si>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</si>
  <si>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</si>
  <si>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</si>
  <si>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</si>
  <si>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</si>
  <si>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</si>
  <si>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</si>
  <si>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</si>
  <si>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</si>
  <si>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</si>
  <si>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</si>
  <si>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</si>
  <si>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</si>
  <si>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</si>
  <si>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</si>
  <si>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</si>
  <si>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</si>
  <si>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</si>
  <si>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</si>
  <si>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</si>
  <si>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</si>
  <si>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</si>
  <si>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</si>
  <si>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</si>
  <si>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</si>
  <si>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</si>
  <si>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</si>
  <si>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</si>
  <si>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</si>
  <si>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</si>
  <si>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</si>
  <si>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</si>
  <si>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</si>
  <si>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</si>
  <si>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</si>
  <si>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</si>
  <si>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</si>
  <si>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</si>
  <si>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</si>
  <si>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</si>
  <si>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</si>
  <si>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</si>
  <si>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</si>
  <si>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</si>
  <si>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</si>
  <si>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</si>
  <si>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</si>
  <si>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</si>
  <si>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</si>
  <si>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</si>
  <si>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</si>
  <si>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</si>
  <si>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</si>
  <si>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</si>
  <si>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</si>
  <si>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</si>
  <si>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</si>
  <si>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</si>
  <si>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</si>
  <si>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</si>
  <si>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</si>
  <si>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</si>
  <si>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</si>
  <si>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</si>
  <si>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</si>
  <si>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</si>
  <si>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</si>
  <si>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</si>
  <si>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</si>
  <si>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</si>
  <si>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</si>
  <si>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</si>
  <si>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</si>
  <si>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</si>
  <si>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</si>
  <si>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</si>
  <si>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</si>
  <si>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</si>
  <si>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</si>
  <si>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</si>
  <si>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</si>
  <si>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</si>
  <si>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</si>
  <si>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</si>
  <si>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</si>
  <si>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</si>
  <si>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</si>
  <si>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</si>
  <si>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</si>
  <si>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</si>
  <si>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</si>
  <si>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</si>
  <si>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</si>
  <si>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</si>
  <si>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</si>
  <si>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</si>
  <si>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</si>
  <si>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</si>
  <si>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</si>
  <si>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</si>
  <si>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</si>
  <si>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</si>
  <si>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</si>
  <si>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</si>
  <si>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</si>
  <si>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</si>
  <si>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</si>
  <si>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</si>
  <si>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</si>
  <si>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</si>
  <si>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</si>
  <si>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</si>
  <si>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</si>
  <si>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</si>
  <si>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</si>
  <si>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</si>
  <si>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</si>
  <si>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</si>
  <si>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</si>
  <si>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</si>
  <si>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</si>
  <si>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</si>
  <si>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</si>
  <si>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</si>
  <si>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</si>
  <si>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</si>
  <si>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</si>
  <si>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</si>
  <si>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</si>
  <si>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</si>
  <si>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</si>
  <si>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</si>
  <si>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</si>
  <si>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</si>
  <si>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</si>
  <si>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</si>
  <si>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</si>
  <si>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</si>
  <si>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</si>
  <si>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</si>
  <si>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</si>
  <si>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</si>
  <si>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</si>
  <si>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</si>
  <si>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</si>
  <si>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</si>
  <si>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</si>
  <si>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</si>
  <si>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</si>
  <si>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</si>
  <si>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</si>
  <si>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</si>
  <si>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</si>
  <si>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</si>
  <si>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</si>
  <si>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</si>
  <si>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</si>
  <si>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</si>
  <si>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</si>
  <si>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</si>
  <si>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</si>
  <si>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</si>
  <si>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</si>
  <si>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</si>
  <si>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</si>
  <si>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</si>
  <si>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</si>
  <si>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</si>
  <si>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</si>
  <si>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</si>
  <si>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</si>
  <si>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</si>
  <si>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</si>
  <si>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</si>
  <si>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</si>
  <si>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</si>
  <si>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</si>
  <si>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</si>
  <si>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</si>
  <si>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</si>
  <si>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</si>
  <si>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</si>
  <si>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</si>
  <si>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</si>
  <si>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</si>
  <si>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</si>
  <si>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</si>
  <si>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</si>
  <si>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</si>
  <si>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</si>
  <si>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</si>
  <si>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</si>
  <si>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</si>
  <si>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</si>
  <si>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</si>
  <si>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</si>
  <si>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</si>
  <si>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</si>
  <si>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</si>
  <si>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</si>
  <si>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</si>
  <si>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</si>
  <si>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</si>
  <si>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</si>
  <si>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</si>
  <si>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</si>
  <si>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</si>
  <si>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</si>
  <si>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</si>
  <si>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</si>
  <si>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</si>
  <si>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</si>
  <si>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</si>
  <si>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</si>
  <si>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</si>
  <si>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</si>
  <si>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</si>
  <si>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</si>
  <si>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</si>
  <si>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</si>
  <si>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</si>
  <si>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</si>
  <si>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</si>
  <si>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</si>
  <si>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</si>
  <si>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</si>
  <si>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</si>
  <si>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</si>
  <si>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</si>
  <si>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</si>
  <si>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</si>
  <si>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</si>
  <si>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</si>
  <si>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</si>
  <si>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</si>
  <si>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</si>
  <si>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</si>
  <si>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</si>
  <si>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</si>
  <si>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</si>
  <si>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</si>
  <si>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</si>
  <si>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</si>
  <si>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</si>
  <si>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</si>
  <si>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</si>
  <si>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</si>
  <si>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</si>
  <si>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</si>
  <si>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</si>
  <si>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</si>
  <si>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</si>
  <si>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</si>
  <si>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</si>
  <si>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</si>
  <si>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</si>
  <si>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</si>
  <si>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</si>
  <si>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</si>
  <si>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</si>
  <si>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</si>
  <si>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</si>
  <si>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</si>
  <si>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</si>
  <si>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</si>
  <si>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</si>
  <si>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</si>
  <si>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</si>
  <si>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</si>
  <si>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</si>
  <si>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</si>
  <si>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</si>
  <si>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</si>
  <si>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</si>
  <si>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</si>
  <si>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</si>
  <si>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</si>
  <si>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</si>
  <si>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</si>
  <si>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</si>
  <si>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</si>
  <si>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</si>
  <si>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</si>
  <si>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</si>
  <si>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</si>
  <si>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</si>
  <si>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</si>
  <si>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</si>
  <si>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</si>
  <si>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</si>
  <si>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</si>
  <si>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</si>
  <si>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</si>
  <si>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</si>
  <si>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</si>
  <si>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</si>
  <si>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</si>
  <si>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</si>
  <si>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</si>
  <si>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</si>
  <si>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</si>
  <si>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</si>
  <si>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</si>
  <si>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</si>
  <si>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</si>
  <si>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</si>
  <si>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</si>
  <si>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</si>
  <si>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</si>
  <si>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</si>
  <si>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</si>
  <si>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</si>
  <si>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</si>
  <si>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</si>
  <si>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</si>
  <si>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</si>
  <si>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</si>
  <si>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</si>
  <si>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</si>
  <si>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</si>
  <si>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</si>
  <si>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</si>
  <si>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</si>
  <si>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</si>
  <si>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</si>
  <si>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</si>
  <si>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</si>
  <si>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</si>
  <si>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</si>
  <si>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</si>
  <si>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</si>
  <si>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</si>
  <si>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</si>
  <si>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</si>
  <si>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</si>
  <si>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</si>
  <si>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</si>
  <si>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</si>
  <si>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</si>
  <si>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</si>
  <si>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</si>
  <si>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</si>
  <si>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</si>
  <si>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</si>
  <si>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</si>
  <si>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</si>
  <si>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</si>
  <si>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</si>
  <si>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</si>
  <si>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</si>
  <si>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</si>
  <si>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</si>
  <si>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</si>
  <si>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</si>
  <si>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</si>
  <si>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</si>
  <si>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</si>
  <si>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</si>
  <si>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</si>
  <si>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</si>
  <si>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</si>
  <si>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</si>
  <si>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</si>
  <si>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</si>
  <si>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</si>
  <si>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</si>
  <si>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</si>
  <si>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</si>
  <si>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</si>
  <si>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</si>
  <si>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</si>
  <si>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</si>
  <si>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</si>
  <si>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</si>
  <si>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</si>
  <si>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</si>
  <si>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</si>
  <si>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</si>
  <si>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</si>
  <si>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</si>
  <si>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</si>
  <si>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</si>
  <si>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</si>
  <si>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</si>
  <si>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</si>
  <si>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</si>
  <si>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</si>
  <si>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</si>
  <si>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</si>
  <si>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</si>
  <si>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</si>
  <si>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</si>
  <si>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</si>
  <si>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</si>
  <si>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</si>
  <si>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</si>
  <si>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</si>
  <si>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</si>
  <si>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</si>
  <si>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</si>
  <si>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</si>
  <si>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</si>
  <si>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</si>
  <si>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</si>
  <si>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</si>
  <si>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</si>
  <si>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</si>
  <si>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</si>
  <si>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</si>
  <si>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</si>
  <si>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</si>
  <si>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</si>
  <si>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</si>
  <si>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</si>
  <si>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</si>
  <si>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</si>
  <si>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</si>
  <si>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</si>
  <si>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</si>
  <si>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</si>
  <si>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</si>
  <si>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</si>
  <si>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</si>
  <si>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</si>
  <si>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</si>
  <si>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</si>
  <si>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</si>
  <si>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</si>
  <si>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</si>
  <si>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</si>
  <si>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</si>
  <si>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</si>
  <si>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</si>
  <si>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</si>
  <si>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</si>
  <si>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</si>
  <si>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</si>
  <si>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</si>
  <si>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</si>
  <si>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</si>
  <si>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</si>
  <si>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</si>
  <si>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</si>
  <si>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</si>
  <si>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</si>
  <si>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</si>
  <si>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</si>
  <si>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</si>
  <si>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</si>
  <si>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</si>
  <si>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</si>
  <si>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</si>
  <si>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</si>
  <si>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</si>
  <si>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</si>
  <si>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</si>
  <si>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</si>
  <si>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</si>
  <si>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</si>
  <si>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</si>
  <si>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</si>
  <si>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</si>
  <si>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</si>
  <si>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</si>
  <si>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</si>
  <si>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</si>
  <si>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</si>
  <si>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</si>
  <si>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</si>
  <si>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</si>
  <si>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</si>
  <si>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</si>
  <si>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</si>
  <si>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</si>
  <si>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</si>
  <si>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</si>
  <si>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</si>
  <si>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</si>
  <si>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</si>
  <si>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</si>
  <si>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</si>
  <si>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</si>
  <si>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</si>
  <si>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</si>
  <si>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</si>
  <si>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</si>
  <si>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</si>
  <si>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</si>
  <si>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</si>
  <si>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</si>
  <si>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</si>
  <si>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</si>
  <si>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</si>
  <si>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</si>
  <si>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</si>
  <si>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</si>
  <si>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</si>
  <si>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</si>
  <si>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</si>
  <si>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</si>
  <si>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</si>
  <si>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</si>
  <si>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</si>
  <si>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</si>
  <si>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</si>
  <si>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</si>
  <si>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</si>
  <si>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</si>
  <si>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</si>
  <si>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</si>
  <si>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</si>
  <si>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</si>
  <si>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</si>
  <si>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</si>
  <si>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</si>
  <si>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</si>
  <si>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</si>
  <si>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</si>
  <si>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</si>
  <si>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</si>
  <si>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</si>
  <si>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</si>
  <si>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</si>
  <si>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</si>
  <si>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</si>
  <si>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</si>
  <si>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</si>
  <si>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</si>
  <si>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</si>
  <si>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</si>
  <si>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</si>
  <si>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</si>
  <si>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</si>
  <si>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</si>
  <si>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</si>
  <si>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</si>
  <si>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</si>
  <si>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</si>
  <si>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</si>
  <si>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</si>
  <si>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</si>
  <si>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</si>
  <si>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</si>
  <si>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</si>
  <si>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</si>
  <si>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</si>
  <si>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</si>
  <si>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</si>
  <si>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</si>
  <si>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</si>
  <si>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</si>
  <si>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</si>
  <si>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</si>
  <si>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</si>
  <si>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</si>
  <si>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</si>
  <si>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</si>
  <si>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</si>
  <si>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</si>
  <si>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</si>
  <si>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</si>
  <si>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</si>
  <si>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</si>
  <si>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</si>
  <si>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</si>
  <si>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</si>
  <si>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</si>
  <si>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</si>
  <si>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</si>
  <si>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</si>
  <si>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</si>
  <si>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</si>
  <si>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</si>
  <si>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</si>
  <si>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</si>
  <si>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</si>
  <si>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</si>
  <si>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</si>
  <si>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</si>
  <si>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</si>
  <si>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</si>
  <si>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</si>
  <si>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</si>
  <si>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</si>
  <si>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</si>
  <si>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</si>
  <si>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</si>
  <si>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</si>
  <si>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</si>
  <si>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</si>
  <si>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</si>
  <si>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</si>
  <si>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</si>
  <si>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</si>
  <si>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</si>
  <si>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</si>
  <si>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</si>
  <si>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</si>
  <si>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</si>
  <si>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</si>
  <si>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</si>
  <si>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</si>
  <si>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</si>
  <si>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</si>
  <si>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</si>
  <si>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</si>
  <si>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</si>
  <si>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</si>
  <si>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</si>
  <si>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</si>
  <si>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</si>
  <si>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</si>
  <si>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</si>
  <si>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</si>
  <si>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</si>
  <si>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</si>
  <si>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</si>
  <si>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</si>
  <si>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</si>
  <si>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</si>
  <si>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</si>
  <si>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</si>
  <si>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</si>
  <si>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</si>
  <si>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</si>
  <si>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</si>
  <si>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</si>
  <si>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</si>
  <si>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</si>
  <si>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</si>
  <si>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</si>
  <si>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</si>
  <si>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</si>
  <si>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</si>
  <si>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</si>
  <si>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</si>
  <si>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</si>
  <si>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</si>
  <si>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</si>
  <si>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</si>
  <si>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</si>
  <si>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</si>
  <si>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</si>
  <si>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</si>
  <si>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</si>
  <si>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</si>
  <si>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</si>
  <si>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</si>
  <si>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</si>
  <si>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</si>
  <si>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</si>
  <si>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</si>
  <si>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</si>
  <si>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</si>
  <si>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</si>
  <si>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</si>
  <si>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</si>
  <si>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</si>
  <si>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</si>
  <si>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</si>
  <si>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</si>
  <si>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</si>
  <si>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</si>
  <si>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</si>
  <si>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</si>
  <si>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</si>
  <si>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</si>
  <si>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</si>
  <si>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</si>
  <si>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</si>
  <si>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</si>
  <si>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</si>
  <si>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</si>
  <si>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</si>
  <si>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</si>
  <si>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</si>
  <si>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</si>
  <si>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</si>
  <si>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</si>
  <si>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</si>
  <si>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</si>
  <si>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</si>
  <si>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</si>
  <si>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</si>
  <si>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</si>
  <si>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</si>
  <si>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</si>
  <si>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</si>
  <si>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</si>
  <si>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</si>
  <si>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</si>
  <si>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</si>
  <si>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</si>
  <si>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</si>
  <si>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</si>
  <si>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</si>
  <si>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</si>
  <si>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</si>
  <si>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</si>
  <si>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</si>
  <si>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</si>
  <si>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</si>
  <si>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</si>
  <si>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</si>
  <si>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</si>
  <si>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</si>
  <si>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</si>
  <si>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</si>
  <si>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</si>
  <si>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</si>
  <si>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</si>
  <si>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</si>
  <si>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</si>
  <si>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</si>
  <si>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</si>
  <si>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</si>
  <si>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</si>
  <si>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</si>
  <si>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</si>
  <si>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</si>
  <si>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</si>
  <si>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</si>
  <si>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</si>
  <si>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</si>
  <si>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</si>
  <si>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</si>
  <si>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</si>
  <si>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</si>
  <si>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</si>
  <si>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</si>
  <si>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</si>
  <si>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</si>
  <si>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</si>
  <si>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</si>
  <si>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</si>
  <si>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</si>
  <si>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</si>
  <si>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</si>
  <si>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</si>
  <si>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</si>
  <si>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</si>
  <si>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</si>
  <si>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</si>
  <si>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</si>
  <si>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</si>
  <si>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</si>
  <si>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</si>
  <si>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</si>
  <si>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</si>
  <si>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</si>
  <si>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</si>
  <si>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</si>
  <si>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</si>
  <si>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</si>
  <si>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</si>
  <si>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</si>
  <si>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</si>
  <si>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</si>
  <si>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</si>
  <si>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</si>
  <si>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</si>
  <si>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</si>
  <si>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</si>
  <si>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</si>
  <si>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Design and production of magnetic micro systems </t>
  </si>
  <si>
    <t>Schanzenfeldstr. 2, D-35578 Wetzlar</t>
  </si>
  <si>
    <t>Dr. Christoph Schug</t>
  </si>
  <si>
    <t>christoph.schug@sensitec.com</t>
  </si>
  <si>
    <t>+49 6441 5291 123</t>
  </si>
  <si>
    <t>Dr. Rolf Slatter</t>
  </si>
  <si>
    <t>CEO</t>
  </si>
  <si>
    <t>rolf.slatter@sensitec.com</t>
  </si>
  <si>
    <t>https://www.sensitec.com/fileadmin/sensitec/Service_and_Support/Downloads/Declaration_of_Conformity/SENSITEC_Conformity_REACh-RoHS-ConflictMinerals_EN.pdf</t>
  </si>
  <si>
    <t>+49 6441 5291 182</t>
  </si>
  <si>
    <t>Sensitec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</si>
</sst>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oph.schug@sensit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ensitec.com/fileadmin/sensitec/Service_and_Support/Downloads/Declaration_of_Conformity/SENSITEC_Conformity_REACh-RoHS-ConflictMinerals_EN.pdf" TargetMode="External"/><Relationship Id="rId4" Type="http://schemas.openxmlformats.org/officeDocument/2006/relationships/hyperlink" Target="mailto:rolf.slatter@sensit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650000000000006" customHeight="1">
      <c r="A29" s="354"/>
      <c r="B29" s="367"/>
      <c r="C29" s="361"/>
      <c r="D29" s="364"/>
      <c r="E29" s="352"/>
      <c r="F29" s="198" t="s">
        <v>63</v>
      </c>
      <c r="G29" s="34"/>
    </row>
    <row r="30" spans="1:7" ht="62.6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6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6" zoomScalePageLayoutView="70" workbookViewId="0">
      <selection activeCell="D12" sqref="D12:J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15516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8" t="str">
        <f ca="1">OFFSET(L!$C$1,MATCH("Declaration"&amp;ADDRESS(ROW(),COLUMN(),4)&amp;LEFT($D$9,1),L!$A:$A,0)-1,SL,,)</f>
        <v>Description of Scope:</v>
      </c>
      <c r="C10" s="151"/>
      <c r="D10" s="419" t="s">
        <v>15506</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15507</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15508</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15509</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15510</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15511</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15512</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15513</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15515</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44103</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500</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500</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2628</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2628</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2628</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2628</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499</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15514</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8" activePane="bottomLeft" state="frozen"/>
      <selection pane="bottomLeft" activeCell="D17" sqref="D17"/>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1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c r="B5" s="217" t="s">
        <v>1155</v>
      </c>
      <c r="C5" s="221" t="s">
        <v>48</v>
      </c>
      <c r="D5" s="283"/>
      <c r="E5" s="217" t="str">
        <f ca="1">IF(ISERROR($V5),"",OFFSET('Smelter Look-up'!$D$4,$V5-4,0)&amp;"")</f>
        <v>CHINA</v>
      </c>
      <c r="F5" s="217" t="str">
        <f ca="1">IF(ISERROR($V5),"",OFFSET('Smelter Look-up'!$E$4,$V5-4,0))</f>
        <v>CID000917</v>
      </c>
      <c r="G5" s="217" t="str">
        <f ca="1">IF(C5=$X$4,"Enter smelter details",IF(ISERROR($V5),"",OFFSET('Smelter Look-up'!$F$4,$V5-4,0)))</f>
        <v>RMI</v>
      </c>
      <c r="H5" s="218">
        <f ca="1">IF(ISERROR($V5),"",OFFSET('Smelter Look-up'!$G$4,$V5-4,0))</f>
        <v>0</v>
      </c>
      <c r="I5" s="219" t="str">
        <f ca="1">IF(ISERROR($V5),"",OFFSET('Smelter Look-up'!$H$4,$V5-4,0))</f>
        <v>Jiujiang</v>
      </c>
      <c r="J5" s="219" t="str">
        <f ca="1">IF(ISERROR($V5),"",OFFSET('Smelter Look-up'!$I$4,$V5-4,0))</f>
        <v>Jiangxi Sheng</v>
      </c>
      <c r="K5" s="273"/>
      <c r="L5" s="273"/>
      <c r="M5" s="273"/>
      <c r="N5" s="273"/>
      <c r="O5" s="273"/>
      <c r="P5" s="220"/>
      <c r="Q5" s="274"/>
      <c r="R5" s="217" t="str">
        <f ca="1">IF(ISERROR($V5),"",OFFSET('Smelter Look-up'!$C$4,$V5-4,0)&amp;"")</f>
        <v>Jiujiang Tanbre Co., Ltd.</v>
      </c>
      <c r="S5" s="225" t="str">
        <f t="shared" ref="S5" ca="1" si="0">IF(B5="","",IF(ISERROR(MATCH($E5,CL,0)),"Unknown",INDIRECT("'C'!$A$"&amp;MATCH($E5,CL,0)+1)))</f>
        <v>CN</v>
      </c>
      <c r="T5" s="225" t="str">
        <f ca="1">IF(B5="","",IF(ISERROR(MATCH($J5,SorP!$B$1:$B$6230,0)),"",INDIRECT("'SorP'!$A$"&amp;MATCH($J5,SorP!$B$1:$B$6230,0))))</f>
        <v>CN-JX</v>
      </c>
      <c r="U5" s="241"/>
      <c r="V5" s="275">
        <f>IF(C5="",NA(),MATCH($B5&amp;$C5,'Smelter Look-up'!$J:$J,0))</f>
        <v>318</v>
      </c>
      <c r="W5" s="276"/>
      <c r="X5" s="276">
        <f t="shared" ref="X5" ca="1" si="1">IF(AND(C5="Smelter not listed",OR(LEN(D5)=0,LEN(E5)=0)),1,0)</f>
        <v>0</v>
      </c>
      <c r="Y5" s="276"/>
      <c r="Z5" s="276"/>
      <c r="AB5" s="278" t="str">
        <f t="shared" ref="AB5" si="2">B5&amp;C5</f>
        <v>TantalumJiujiang Tanbre Co., Ltd.</v>
      </c>
    </row>
    <row r="6" spans="1:34" s="277" customFormat="1" ht="19.899999999999999" customHeight="1">
      <c r="A6" s="332"/>
      <c r="B6" s="217" t="s">
        <v>1155</v>
      </c>
      <c r="C6" s="221" t="s">
        <v>1347</v>
      </c>
      <c r="D6" s="283"/>
      <c r="E6" s="217" t="str">
        <f ca="1">IF(ISERROR($V6),"",OFFSET('Smelter Look-up'!$D$4,$V6-4,0)&amp;"")</f>
        <v>Unknown</v>
      </c>
      <c r="F6" s="217">
        <f ca="1">IF(ISERROR($V6),"",OFFSET('Smelter Look-up'!$E$4,$V6-4,0))</f>
        <v>0</v>
      </c>
      <c r="G6" s="217">
        <f ca="1">IF(C6=$X$4,"Enter smelter details",IF(ISERROR($V6),"",OFFSET('Smelter Look-up'!$F$4,$V6-4,0)))</f>
        <v>0</v>
      </c>
      <c r="H6" s="218">
        <f ca="1">IF(ISERROR($V6),"",OFFSET('Smelter Look-up'!$G$4,$V6-4,0))</f>
        <v>0</v>
      </c>
      <c r="I6" s="219">
        <f ca="1">IF(ISERROR($V6),"",OFFSET('Smelter Look-up'!$H$4,$V6-4,0))</f>
        <v>0</v>
      </c>
      <c r="J6" s="219">
        <f ca="1">IF(ISERROR($V6),"",OFFSET('Smelter Look-up'!$I$4,$V6-4,0))</f>
        <v>0</v>
      </c>
      <c r="K6" s="273"/>
      <c r="L6" s="273"/>
      <c r="M6" s="273"/>
      <c r="N6" s="273"/>
      <c r="O6" s="273"/>
      <c r="P6" s="220"/>
      <c r="Q6" s="274"/>
      <c r="R6" s="217" t="str">
        <f ca="1">IF(ISERROR($V6),"",OFFSET('Smelter Look-up'!$C$4,$V6-4,0)&amp;"")</f>
        <v>Unknown</v>
      </c>
      <c r="S6" s="225" t="str">
        <f t="shared" ref="S6:S37" ca="1" si="3">IF(B6="","",IF(ISERROR(MATCH($E6,CL,0)),"Unknown",INDIRECT("'C'!$A$"&amp;MATCH($E6,CL,0)+1)))</f>
        <v>Unknown</v>
      </c>
      <c r="T6" s="225" t="str">
        <f ca="1">IF(B6="","",IF(ISERROR(MATCH($J6,SorP!$B$1:$B$6230,0)),"",INDIRECT("'SorP'!$A$"&amp;MATCH($J6,SorP!$B$1:$B$6230,0))))</f>
        <v/>
      </c>
      <c r="U6" s="241"/>
      <c r="V6" s="275">
        <f>IF(C6="",NA(),MATCH($B6&amp;$C6,'Smelter Look-up'!$J:$J,0))</f>
        <v>354</v>
      </c>
      <c r="W6" s="276"/>
      <c r="X6" s="276">
        <f t="shared" ref="X6:X37" ca="1" si="4">IF(AND(C6="Smelter not listed",OR(LEN(D6)=0,LEN(E6)=0)),1,0)</f>
        <v>0</v>
      </c>
      <c r="Y6" s="276"/>
      <c r="Z6" s="276"/>
      <c r="AB6" s="278" t="str">
        <f t="shared" ref="AB6:AB37" si="5">B6&amp;C6</f>
        <v>TantalumSmelter not yet identified</v>
      </c>
    </row>
    <row r="7" spans="1:34" s="277" customFormat="1" ht="19.899999999999999" customHeight="1">
      <c r="A7" s="332"/>
      <c r="B7" s="217" t="s">
        <v>1153</v>
      </c>
      <c r="C7" s="221" t="s">
        <v>2352</v>
      </c>
      <c r="D7" s="283"/>
      <c r="E7" s="217" t="str">
        <f ca="1">IF(ISERROR($V7),"",OFFSET('Smelter Look-up'!$D$4,$V7-4,0)&amp;"")</f>
        <v>CANADA</v>
      </c>
      <c r="F7" s="217" t="str">
        <f ca="1">IF(ISERROR($V7),"",OFFSET('Smelter Look-up'!$E$4,$V7-4,0))</f>
        <v>CID000185</v>
      </c>
      <c r="G7" s="217" t="str">
        <f ca="1">IF(C7=$X$4,"Enter smelter details",IF(ISERROR($V7),"",OFFSET('Smelter Look-up'!$F$4,$V7-4,0)))</f>
        <v>RMI</v>
      </c>
      <c r="H7" s="218">
        <f ca="1">IF(ISERROR($V7),"",OFFSET('Smelter Look-up'!$G$4,$V7-4,0))</f>
        <v>0</v>
      </c>
      <c r="I7" s="219" t="str">
        <f ca="1">IF(ISERROR($V7),"",OFFSET('Smelter Look-up'!$H$4,$V7-4,0))</f>
        <v>Montréal</v>
      </c>
      <c r="J7" s="219" t="str">
        <f ca="1">IF(ISERROR($V7),"",OFFSET('Smelter Look-up'!$I$4,$V7-4,0))</f>
        <v>Quebec</v>
      </c>
      <c r="K7" s="273"/>
      <c r="L7" s="273"/>
      <c r="M7" s="273"/>
      <c r="N7" s="273"/>
      <c r="O7" s="273"/>
      <c r="P7" s="220"/>
      <c r="Q7" s="274"/>
      <c r="R7" s="217" t="str">
        <f ca="1">IF(ISERROR($V7),"",OFFSET('Smelter Look-up'!$C$4,$V7-4,0)&amp;"")</f>
        <v>CCR Refinery - Glencore Canada Corporation</v>
      </c>
      <c r="S7" s="225" t="str">
        <f t="shared" ca="1" si="3"/>
        <v>CA</v>
      </c>
      <c r="T7" s="225" t="str">
        <f ca="1">IF(B7="","",IF(ISERROR(MATCH($J7,SorP!$B$1:$B$6230,0)),"",INDIRECT("'SorP'!$A$"&amp;MATCH($J7,SorP!$B$1:$B$6230,0))))</f>
        <v>CA-QC</v>
      </c>
      <c r="U7" s="241"/>
      <c r="V7" s="275">
        <f>IF(C7="",NA(),MATCH($B7&amp;$C7,'Smelter Look-up'!$J:$J,0))</f>
        <v>43</v>
      </c>
      <c r="W7" s="276"/>
      <c r="X7" s="276">
        <f t="shared" ca="1" si="4"/>
        <v>0</v>
      </c>
      <c r="Y7" s="276"/>
      <c r="Z7" s="276"/>
      <c r="AB7" s="278" t="str">
        <f t="shared" si="5"/>
        <v>GoldCCR Refinery - Glencore Canada Corporation</v>
      </c>
    </row>
    <row r="8" spans="1:34" s="277" customFormat="1" ht="19.899999999999999" customHeight="1">
      <c r="A8" s="332"/>
      <c r="B8" s="217" t="s">
        <v>1153</v>
      </c>
      <c r="C8" s="221" t="s">
        <v>2647</v>
      </c>
      <c r="D8" s="283"/>
      <c r="E8" s="217" t="str">
        <f ca="1">IF(ISERROR($V8),"",OFFSET('Smelter Look-up'!$D$4,$V8-4,0)&amp;"")</f>
        <v>CHINA</v>
      </c>
      <c r="F8" s="217" t="str">
        <f ca="1">IF(ISERROR($V8),"",OFFSET('Smelter Look-up'!$E$4,$V8-4,0))</f>
        <v>CID000707</v>
      </c>
      <c r="G8" s="217" t="str">
        <f ca="1">IF(C8=$X$4,"Enter smelter details",IF(ISERROR($V8),"",OFFSET('Smelter Look-up'!$F$4,$V8-4,0)))</f>
        <v>RMI</v>
      </c>
      <c r="H8" s="218">
        <f ca="1">IF(ISERROR($V8),"",OFFSET('Smelter Look-up'!$G$4,$V8-4,0))</f>
        <v>0</v>
      </c>
      <c r="I8" s="219" t="str">
        <f ca="1">IF(ISERROR($V8),"",OFFSET('Smelter Look-up'!$H$4,$V8-4,0))</f>
        <v>Fanling</v>
      </c>
      <c r="J8" s="219" t="str">
        <f ca="1">IF(ISERROR($V8),"",OFFSET('Smelter Look-up'!$I$4,$V8-4,0))</f>
        <v>Hong Kong SAR</v>
      </c>
      <c r="K8" s="273"/>
      <c r="L8" s="273"/>
      <c r="M8" s="273"/>
      <c r="N8" s="273"/>
      <c r="O8" s="273"/>
      <c r="P8" s="220"/>
      <c r="Q8" s="274"/>
      <c r="R8" s="217" t="str">
        <f ca="1">IF(ISERROR($V8),"",OFFSET('Smelter Look-up'!$C$4,$V8-4,0)&amp;"")</f>
        <v>Heraeus Metals Hong Kong Ltd.</v>
      </c>
      <c r="S8" s="225" t="str">
        <f t="shared" ca="1" si="3"/>
        <v>CN</v>
      </c>
      <c r="T8" s="225" t="str">
        <f ca="1">IF(B8="","",IF(ISERROR(MATCH($J8,SorP!$B$1:$B$6230,0)),"",INDIRECT("'SorP'!$A$"&amp;MATCH($J8,SorP!$B$1:$B$6230,0))))</f>
        <v>CN-HK</v>
      </c>
      <c r="U8" s="241"/>
      <c r="V8" s="275">
        <f>IF(C8="",NA(),MATCH($B8&amp;$C8,'Smelter Look-up'!$J:$J,0))</f>
        <v>97</v>
      </c>
      <c r="W8" s="276"/>
      <c r="X8" s="276">
        <f t="shared" ca="1" si="4"/>
        <v>0</v>
      </c>
      <c r="Y8" s="276"/>
      <c r="Z8" s="276"/>
      <c r="AB8" s="278" t="str">
        <f t="shared" si="5"/>
        <v>GoldHeraeus Metals Hong Kong Ltd.</v>
      </c>
    </row>
    <row r="9" spans="1:34" s="277" customFormat="1" ht="19.899999999999999" customHeight="1">
      <c r="A9" s="332"/>
      <c r="B9" s="217" t="s">
        <v>1153</v>
      </c>
      <c r="C9" s="221" t="s">
        <v>1250</v>
      </c>
      <c r="D9" s="283"/>
      <c r="E9" s="217" t="str">
        <f ca="1">IF(ISERROR($V9),"",OFFSET('Smelter Look-up'!$D$4,$V9-4,0)&amp;"")</f>
        <v>GERMANY</v>
      </c>
      <c r="F9" s="217" t="str">
        <f ca="1">IF(ISERROR($V9),"",OFFSET('Smelter Look-up'!$E$4,$V9-4,0))</f>
        <v>CID000711</v>
      </c>
      <c r="G9" s="217" t="str">
        <f ca="1">IF(C9=$X$4,"Enter smelter details",IF(ISERROR($V9),"",OFFSET('Smelter Look-up'!$F$4,$V9-4,0)))</f>
        <v>RMI</v>
      </c>
      <c r="H9" s="218">
        <f ca="1">IF(ISERROR($V9),"",OFFSET('Smelter Look-up'!$G$4,$V9-4,0))</f>
        <v>0</v>
      </c>
      <c r="I9" s="219" t="str">
        <f ca="1">IF(ISERROR($V9),"",OFFSET('Smelter Look-up'!$H$4,$V9-4,0))</f>
        <v>Hanau</v>
      </c>
      <c r="J9" s="219" t="str">
        <f ca="1">IF(ISERROR($V9),"",OFFSET('Smelter Look-up'!$I$4,$V9-4,0))</f>
        <v>Hessen</v>
      </c>
      <c r="K9" s="273"/>
      <c r="L9" s="273"/>
      <c r="M9" s="273"/>
      <c r="N9" s="273"/>
      <c r="O9" s="273"/>
      <c r="P9" s="220"/>
      <c r="Q9" s="274"/>
      <c r="R9" s="217" t="str">
        <f ca="1">IF(ISERROR($V9),"",OFFSET('Smelter Look-up'!$C$4,$V9-4,0)&amp;"")</f>
        <v>Heraeus Precious Metals GmbH &amp; Co. KG</v>
      </c>
      <c r="S9" s="225" t="str">
        <f t="shared" ca="1" si="3"/>
        <v>DE</v>
      </c>
      <c r="T9" s="225" t="str">
        <f ca="1">IF(B9="","",IF(ISERROR(MATCH($J9,SorP!$B$1:$B$6230,0)),"",INDIRECT("'SorP'!$A$"&amp;MATCH($J9,SorP!$B$1:$B$6230,0))))</f>
        <v>DE-HE</v>
      </c>
      <c r="U9" s="241"/>
      <c r="V9" s="275">
        <f>IF(C9="",NA(),MATCH($B9&amp;$C9,'Smelter Look-up'!$J:$J,0))</f>
        <v>98</v>
      </c>
      <c r="W9" s="276"/>
      <c r="X9" s="276">
        <f t="shared" ca="1" si="4"/>
        <v>0</v>
      </c>
      <c r="Y9" s="276"/>
      <c r="Z9" s="276"/>
      <c r="AB9" s="278" t="str">
        <f t="shared" si="5"/>
        <v>GoldHeraeus Precious Metals GmbH &amp; Co. KG</v>
      </c>
    </row>
    <row r="10" spans="1:34" s="277" customFormat="1" ht="19.899999999999999" customHeight="1">
      <c r="A10" s="332"/>
      <c r="B10" s="217" t="s">
        <v>1153</v>
      </c>
      <c r="C10" s="221" t="s">
        <v>933</v>
      </c>
      <c r="D10" s="283"/>
      <c r="E10" s="217" t="str">
        <f ca="1">IF(ISERROR($V10),"",OFFSET('Smelter Look-up'!$D$4,$V10-4,0)&amp;"")</f>
        <v>UNITED STATES OF AMERICA</v>
      </c>
      <c r="F10" s="217" t="str">
        <f ca="1">IF(ISERROR($V10),"",OFFSET('Smelter Look-up'!$E$4,$V10-4,0))</f>
        <v>CID001113</v>
      </c>
      <c r="G10" s="217" t="str">
        <f ca="1">IF(C10=$X$4,"Enter smelter details",IF(ISERROR($V10),"",OFFSET('Smelter Look-up'!$F$4,$V10-4,0)))</f>
        <v>RMI</v>
      </c>
      <c r="H10" s="218">
        <f ca="1">IF(ISERROR($V10),"",OFFSET('Smelter Look-up'!$G$4,$V10-4,0))</f>
        <v>0</v>
      </c>
      <c r="I10" s="219" t="str">
        <f ca="1">IF(ISERROR($V10),"",OFFSET('Smelter Look-up'!$H$4,$V10-4,0))</f>
        <v>Buffalo</v>
      </c>
      <c r="J10" s="219" t="str">
        <f ca="1">IF(ISERROR($V10),"",OFFSET('Smelter Look-up'!$I$4,$V10-4,0))</f>
        <v>New York</v>
      </c>
      <c r="K10" s="273"/>
      <c r="L10" s="273"/>
      <c r="M10" s="273"/>
      <c r="N10" s="273"/>
      <c r="O10" s="273"/>
      <c r="P10" s="220"/>
      <c r="Q10" s="274"/>
      <c r="R10" s="217" t="str">
        <f ca="1">IF(ISERROR($V10),"",OFFSET('Smelter Look-up'!$C$4,$V10-4,0)&amp;"")</f>
        <v>Materion</v>
      </c>
      <c r="S10" s="225" t="str">
        <f t="shared" ca="1" si="3"/>
        <v>US</v>
      </c>
      <c r="T10" s="225" t="str">
        <f ca="1">IF(B10="","",IF(ISERROR(MATCH($J10,SorP!$B$1:$B$6230,0)),"",INDIRECT("'SorP'!$A$"&amp;MATCH($J10,SorP!$B$1:$B$6230,0))))</f>
        <v>US-NY</v>
      </c>
      <c r="U10" s="241"/>
      <c r="V10" s="275">
        <f>IF(C10="",NA(),MATCH($B10&amp;$C10,'Smelter Look-up'!$J:$J,0))</f>
        <v>149</v>
      </c>
      <c r="W10" s="276"/>
      <c r="X10" s="276">
        <f t="shared" ca="1" si="4"/>
        <v>0</v>
      </c>
      <c r="Y10" s="276"/>
      <c r="Z10" s="276"/>
      <c r="AB10" s="278" t="str">
        <f t="shared" si="5"/>
        <v>GoldMaterion</v>
      </c>
    </row>
    <row r="11" spans="1:34" s="277" customFormat="1" ht="19.899999999999999" customHeight="1">
      <c r="A11" s="332"/>
      <c r="B11" s="217" t="s">
        <v>1153</v>
      </c>
      <c r="C11" s="221" t="s">
        <v>936</v>
      </c>
      <c r="D11" s="283"/>
      <c r="E11" s="217" t="str">
        <f ca="1">IF(ISERROR($V11),"",OFFSET('Smelter Look-up'!$D$4,$V11-4,0)&amp;"")</f>
        <v>CANADA</v>
      </c>
      <c r="F11" s="217" t="str">
        <f ca="1">IF(ISERROR($V11),"",OFFSET('Smelter Look-up'!$E$4,$V11-4,0))</f>
        <v>CID001534</v>
      </c>
      <c r="G11" s="217" t="str">
        <f ca="1">IF(C11=$X$4,"Enter smelter details",IF(ISERROR($V11),"",OFFSET('Smelter Look-up'!$F$4,$V11-4,0)))</f>
        <v>RMI</v>
      </c>
      <c r="H11" s="218">
        <f ca="1">IF(ISERROR($V11),"",OFFSET('Smelter Look-up'!$G$4,$V11-4,0))</f>
        <v>0</v>
      </c>
      <c r="I11" s="219" t="str">
        <f ca="1">IF(ISERROR($V11),"",OFFSET('Smelter Look-up'!$H$4,$V11-4,0))</f>
        <v>Ottawa</v>
      </c>
      <c r="J11" s="219" t="str">
        <f ca="1">IF(ISERROR($V11),"",OFFSET('Smelter Look-up'!$I$4,$V11-4,0))</f>
        <v>Ontario</v>
      </c>
      <c r="K11" s="273"/>
      <c r="L11" s="273"/>
      <c r="M11" s="273"/>
      <c r="N11" s="273"/>
      <c r="O11" s="273"/>
      <c r="P11" s="220"/>
      <c r="Q11" s="274"/>
      <c r="R11" s="217" t="str">
        <f ca="1">IF(ISERROR($V11),"",OFFSET('Smelter Look-up'!$C$4,$V11-4,0)&amp;"")</f>
        <v>Royal Canadian Mint</v>
      </c>
      <c r="S11" s="225" t="str">
        <f t="shared" ca="1" si="3"/>
        <v>CA</v>
      </c>
      <c r="T11" s="225" t="str">
        <f ca="1">IF(B11="","",IF(ISERROR(MATCH($J11,SorP!$B$1:$B$6230,0)),"",INDIRECT("'SorP'!$A$"&amp;MATCH($J11,SorP!$B$1:$B$6230,0))))</f>
        <v>CA-ON</v>
      </c>
      <c r="U11" s="241"/>
      <c r="V11" s="275">
        <f>IF(C11="",NA(),MATCH($B11&amp;$C11,'Smelter Look-up'!$J:$J,0))</f>
        <v>202</v>
      </c>
      <c r="W11" s="276"/>
      <c r="X11" s="276">
        <f t="shared" ca="1" si="4"/>
        <v>0</v>
      </c>
      <c r="Y11" s="276"/>
      <c r="Z11" s="276"/>
      <c r="AB11" s="278" t="str">
        <f t="shared" si="5"/>
        <v>GoldRoyal Canadian Mint</v>
      </c>
    </row>
    <row r="12" spans="1:34" s="277" customFormat="1" ht="19.899999999999999" customHeight="1">
      <c r="A12" s="332"/>
      <c r="B12" s="217" t="s">
        <v>1153</v>
      </c>
      <c r="C12" s="221" t="s">
        <v>1347</v>
      </c>
      <c r="D12" s="283"/>
      <c r="E12" s="217" t="str">
        <f ca="1">IF(ISERROR($V12),"",OFFSET('Smelter Look-up'!$D$4,$V12-4,0)&amp;"")</f>
        <v>Unknown</v>
      </c>
      <c r="F12" s="217">
        <f ca="1">IF(ISERROR($V12),"",OFFSET('Smelter Look-up'!$E$4,$V12-4,0))</f>
        <v>0</v>
      </c>
      <c r="G12" s="217">
        <f ca="1">IF(C12=$X$4,"Enter smelter details",IF(ISERROR($V12),"",OFFSET('Smelter Look-up'!$F$4,$V12-4,0)))</f>
        <v>0</v>
      </c>
      <c r="H12" s="218">
        <f ca="1">IF(ISERROR($V12),"",OFFSET('Smelter Look-up'!$G$4,$V12-4,0))</f>
        <v>0</v>
      </c>
      <c r="I12" s="219">
        <f ca="1">IF(ISERROR($V12),"",OFFSET('Smelter Look-up'!$H$4,$V12-4,0))</f>
        <v>0</v>
      </c>
      <c r="J12" s="219">
        <f ca="1">IF(ISERROR($V12),"",OFFSET('Smelter Look-up'!$I$4,$V12-4,0))</f>
        <v>0</v>
      </c>
      <c r="K12" s="273"/>
      <c r="L12" s="273"/>
      <c r="M12" s="273"/>
      <c r="N12" s="273"/>
      <c r="O12" s="273"/>
      <c r="P12" s="220"/>
      <c r="Q12" s="274"/>
      <c r="R12" s="217" t="str">
        <f ca="1">IF(ISERROR($V12),"",OFFSET('Smelter Look-up'!$C$4,$V12-4,0)&amp;"")</f>
        <v>Unknown</v>
      </c>
      <c r="S12" s="225" t="str">
        <f t="shared" ca="1" si="3"/>
        <v>Unknown</v>
      </c>
      <c r="T12" s="225" t="str">
        <f ca="1">IF(B12="","",IF(ISERROR(MATCH($J12,SorP!$B$1:$B$6230,0)),"",INDIRECT("'SorP'!$A$"&amp;MATCH($J12,SorP!$B$1:$B$6230,0))))</f>
        <v/>
      </c>
      <c r="U12" s="241"/>
      <c r="V12" s="275">
        <f>IF(C12="",NA(),MATCH($B12&amp;$C12,'Smelter Look-up'!$J:$J,0))</f>
        <v>294</v>
      </c>
      <c r="W12" s="276"/>
      <c r="X12" s="276">
        <f t="shared" ca="1" si="4"/>
        <v>0</v>
      </c>
      <c r="Y12" s="276"/>
      <c r="Z12" s="276"/>
      <c r="AB12" s="278" t="str">
        <f t="shared" si="5"/>
        <v>GoldSmelter not yet identified</v>
      </c>
    </row>
    <row r="13" spans="1:34" s="277" customFormat="1" ht="19.899999999999999" customHeight="1">
      <c r="A13" s="332"/>
      <c r="B13" s="217" t="s">
        <v>1156</v>
      </c>
      <c r="C13" s="221" t="s">
        <v>159</v>
      </c>
      <c r="D13" s="283"/>
      <c r="E13" s="217" t="str">
        <f ca="1">IF(ISERROR($V13),"",OFFSET('Smelter Look-up'!$D$4,$V13-4,0)&amp;"")</f>
        <v>CHINA</v>
      </c>
      <c r="F13" s="217" t="str">
        <f ca="1">IF(ISERROR($V13),"",OFFSET('Smelter Look-up'!$E$4,$V13-4,0))</f>
        <v>CID002320</v>
      </c>
      <c r="G13" s="217" t="str">
        <f ca="1">IF(C13=$X$4,"Enter smelter details",IF(ISERROR($V13),"",OFFSET('Smelter Look-up'!$F$4,$V13-4,0)))</f>
        <v>RMI</v>
      </c>
      <c r="H13" s="218">
        <f ca="1">IF(ISERROR($V13),"",OFFSET('Smelter Look-up'!$G$4,$V13-4,0))</f>
        <v>0</v>
      </c>
      <c r="I13" s="219" t="str">
        <f ca="1">IF(ISERROR($V13),"",OFFSET('Smelter Look-up'!$H$4,$V13-4,0))</f>
        <v>Xiamen</v>
      </c>
      <c r="J13" s="219" t="str">
        <f ca="1">IF(ISERROR($V13),"",OFFSET('Smelter Look-up'!$I$4,$V13-4,0))</f>
        <v>Fujian Sheng</v>
      </c>
      <c r="K13" s="273"/>
      <c r="L13" s="273"/>
      <c r="M13" s="273"/>
      <c r="N13" s="273"/>
      <c r="O13" s="273"/>
      <c r="P13" s="220"/>
      <c r="Q13" s="274"/>
      <c r="R13" s="217" t="str">
        <f ca="1">IF(ISERROR($V13),"",OFFSET('Smelter Look-up'!$C$4,$V13-4,0)&amp;"")</f>
        <v>Xiamen Tungsten (H.C.) Co., Ltd.</v>
      </c>
      <c r="S13" s="225" t="str">
        <f t="shared" ca="1" si="3"/>
        <v>CN</v>
      </c>
      <c r="T13" s="225" t="str">
        <f ca="1">IF(B13="","",IF(ISERROR(MATCH($J13,SorP!$B$1:$B$6230,0)),"",INDIRECT("'SorP'!$A$"&amp;MATCH($J13,SorP!$B$1:$B$6230,0))))</f>
        <v>CN-FJ</v>
      </c>
      <c r="U13" s="241"/>
      <c r="V13" s="275">
        <f>IF(C13="",NA(),MATCH($B13&amp;$C13,'Smelter Look-up'!$J:$J,0))</f>
        <v>557</v>
      </c>
      <c r="W13" s="276"/>
      <c r="X13" s="276">
        <f t="shared" ca="1" si="4"/>
        <v>0</v>
      </c>
      <c r="Y13" s="276"/>
      <c r="Z13" s="276"/>
      <c r="AB13" s="278" t="str">
        <f t="shared" si="5"/>
        <v>TungstenXiamen Tungsten (H.C.) Co., Ltd.</v>
      </c>
    </row>
    <row r="14" spans="1:34" s="277" customFormat="1" ht="19.899999999999999" customHeight="1">
      <c r="A14" s="332"/>
      <c r="B14" s="217" t="s">
        <v>1156</v>
      </c>
      <c r="C14" s="221" t="s">
        <v>1347</v>
      </c>
      <c r="D14" s="283"/>
      <c r="E14" s="217" t="str">
        <f ca="1">IF(ISERROR($V14),"",OFFSET('Smelter Look-up'!$D$4,$V14-4,0)&amp;"")</f>
        <v>Unknown</v>
      </c>
      <c r="F14" s="217">
        <f ca="1">IF(ISERROR($V14),"",OFFSET('Smelter Look-up'!$E$4,$V14-4,0))</f>
        <v>0</v>
      </c>
      <c r="G14" s="217">
        <f ca="1">IF(C14=$X$4,"Enter smelter details",IF(ISERROR($V14),"",OFFSET('Smelter Look-up'!$F$4,$V14-4,0)))</f>
        <v>0</v>
      </c>
      <c r="H14" s="218">
        <f ca="1">IF(ISERROR($V14),"",OFFSET('Smelter Look-up'!$G$4,$V14-4,0))</f>
        <v>0</v>
      </c>
      <c r="I14" s="219">
        <f ca="1">IF(ISERROR($V14),"",OFFSET('Smelter Look-up'!$H$4,$V14-4,0))</f>
        <v>0</v>
      </c>
      <c r="J14" s="219">
        <f ca="1">IF(ISERROR($V14),"",OFFSET('Smelter Look-up'!$I$4,$V14-4,0))</f>
        <v>0</v>
      </c>
      <c r="K14" s="273"/>
      <c r="L14" s="273"/>
      <c r="M14" s="273"/>
      <c r="N14" s="273"/>
      <c r="O14" s="273"/>
      <c r="P14" s="220"/>
      <c r="Q14" s="274"/>
      <c r="R14" s="217" t="str">
        <f ca="1">IF(ISERROR($V14),"",OFFSET('Smelter Look-up'!$C$4,$V14-4,0)&amp;"")</f>
        <v>Unknown</v>
      </c>
      <c r="S14" s="225" t="str">
        <f t="shared" ca="1" si="3"/>
        <v>Unknown</v>
      </c>
      <c r="T14" s="225" t="str">
        <f ca="1">IF(B14="","",IF(ISERROR(MATCH($J14,SorP!$B$1:$B$6230,0)),"",INDIRECT("'SorP'!$A$"&amp;MATCH($J14,SorP!$B$1:$B$6230,0))))</f>
        <v/>
      </c>
      <c r="U14" s="241"/>
      <c r="V14" s="275">
        <f>IF(C14="",NA(),MATCH($B14&amp;$C14,'Smelter Look-up'!$J:$J,0))</f>
        <v>591</v>
      </c>
      <c r="W14" s="276"/>
      <c r="X14" s="276">
        <f t="shared" ca="1" si="4"/>
        <v>0</v>
      </c>
      <c r="Y14" s="276"/>
      <c r="Z14" s="276"/>
      <c r="AB14" s="278" t="str">
        <f t="shared" si="5"/>
        <v>TungstenSmelter not yet identified</v>
      </c>
    </row>
    <row r="15" spans="1:34" s="277" customFormat="1" ht="19.899999999999999" customHeight="1">
      <c r="A15" s="332"/>
      <c r="B15" s="217" t="s">
        <v>1154</v>
      </c>
      <c r="C15" s="221" t="s">
        <v>13267</v>
      </c>
      <c r="D15" s="283"/>
      <c r="E15" s="217" t="str">
        <f ca="1">IF(ISERROR($V15),"",OFFSET('Smelter Look-up'!$D$4,$V15-4,0)&amp;"")</f>
        <v>BELGIUM</v>
      </c>
      <c r="F15" s="217" t="str">
        <f ca="1">IF(ISERROR($V15),"",OFFSET('Smelter Look-up'!$E$4,$V15-4,0))</f>
        <v>CID002773</v>
      </c>
      <c r="G15" s="217" t="str">
        <f ca="1">IF(C15=$X$4,"Enter smelter details",IF(ISERROR($V15),"",OFFSET('Smelter Look-up'!$F$4,$V15-4,0)))</f>
        <v>RMI</v>
      </c>
      <c r="H15" s="218">
        <f ca="1">IF(ISERROR($V15),"",OFFSET('Smelter Look-up'!$G$4,$V15-4,0))</f>
        <v>0</v>
      </c>
      <c r="I15" s="219" t="str">
        <f ca="1">IF(ISERROR($V15),"",OFFSET('Smelter Look-up'!$H$4,$V15-4,0))</f>
        <v>Beerse</v>
      </c>
      <c r="J15" s="219" t="str">
        <f ca="1">IF(ISERROR($V15),"",OFFSET('Smelter Look-up'!$I$4,$V15-4,0))</f>
        <v>Antwerpen</v>
      </c>
      <c r="K15" s="273"/>
      <c r="L15" s="273"/>
      <c r="M15" s="273"/>
      <c r="N15" s="273"/>
      <c r="O15" s="273"/>
      <c r="P15" s="220"/>
      <c r="Q15" s="274"/>
      <c r="R15" s="217" t="str">
        <f ca="1">IF(ISERROR($V15),"",OFFSET('Smelter Look-up'!$C$4,$V15-4,0)&amp;"")</f>
        <v>Metallo Belgium N.V.</v>
      </c>
      <c r="S15" s="225" t="str">
        <f t="shared" ca="1" si="3"/>
        <v>BE</v>
      </c>
      <c r="T15" s="225" t="str">
        <f ca="1">IF(B15="","",IF(ISERROR(MATCH($J15,SorP!$B$1:$B$6230,0)),"",INDIRECT("'SorP'!$A$"&amp;MATCH($J15,SorP!$B$1:$B$6230,0))))</f>
        <v>BE-VAN</v>
      </c>
      <c r="U15" s="241"/>
      <c r="V15" s="275">
        <f>IF(C15="",NA(),MATCH($B15&amp;$C15,'Smelter Look-up'!$J:$J,0))</f>
        <v>419</v>
      </c>
      <c r="W15" s="276"/>
      <c r="X15" s="276">
        <f t="shared" ca="1" si="4"/>
        <v>0</v>
      </c>
      <c r="Y15" s="276"/>
      <c r="Z15" s="276"/>
      <c r="AB15" s="278" t="str">
        <f t="shared" si="5"/>
        <v>TinMetallo Belgium N.V.</v>
      </c>
    </row>
    <row r="16" spans="1:34" s="277" customFormat="1" ht="19.899999999999999" customHeight="1">
      <c r="A16" s="332"/>
      <c r="B16" s="217" t="s">
        <v>1154</v>
      </c>
      <c r="C16" s="221" t="s">
        <v>1347</v>
      </c>
      <c r="D16" s="283"/>
      <c r="E16" s="217" t="str">
        <f ca="1">IF(ISERROR($V16),"",OFFSET('Smelter Look-up'!$D$4,$V16-4,0)&amp;"")</f>
        <v>Unknown</v>
      </c>
      <c r="F16" s="217">
        <f ca="1">IF(ISERROR($V16),"",OFFSET('Smelter Look-up'!$E$4,$V16-4,0))</f>
        <v>0</v>
      </c>
      <c r="G16" s="217">
        <f ca="1">IF(C16=$X$4,"Enter smelter details",IF(ISERROR($V16),"",OFFSET('Smelter Look-up'!$F$4,$V16-4,0)))</f>
        <v>0</v>
      </c>
      <c r="H16" s="218">
        <f ca="1">IF(ISERROR($V16),"",OFFSET('Smelter Look-up'!$G$4,$V16-4,0))</f>
        <v>0</v>
      </c>
      <c r="I16" s="219">
        <f ca="1">IF(ISERROR($V16),"",OFFSET('Smelter Look-up'!$H$4,$V16-4,0))</f>
        <v>0</v>
      </c>
      <c r="J16" s="219">
        <f ca="1">IF(ISERROR($V16),"",OFFSET('Smelter Look-up'!$I$4,$V16-4,0))</f>
        <v>0</v>
      </c>
      <c r="K16" s="273"/>
      <c r="L16" s="273"/>
      <c r="M16" s="273"/>
      <c r="N16" s="273"/>
      <c r="O16" s="273"/>
      <c r="P16" s="220"/>
      <c r="Q16" s="274"/>
      <c r="R16" s="217" t="str">
        <f ca="1">IF(ISERROR($V16),"",OFFSET('Smelter Look-up'!$C$4,$V16-4,0)&amp;"")</f>
        <v>Unknown</v>
      </c>
      <c r="S16" s="225" t="str">
        <f t="shared" ca="1" si="3"/>
        <v>Unknown</v>
      </c>
      <c r="T16" s="225" t="str">
        <f ca="1">IF(B16="","",IF(ISERROR(MATCH($J16,SorP!$B$1:$B$6230,0)),"",INDIRECT("'SorP'!$A$"&amp;MATCH($J16,SorP!$B$1:$B$6230,0))))</f>
        <v/>
      </c>
      <c r="U16" s="241"/>
      <c r="V16" s="275">
        <f>IF(C16="",NA(),MATCH($B16&amp;$C16,'Smelter Look-up'!$J:$J,0))</f>
        <v>485</v>
      </c>
      <c r="W16" s="276"/>
      <c r="X16" s="276">
        <f t="shared" ca="1" si="4"/>
        <v>0</v>
      </c>
      <c r="Y16" s="276"/>
      <c r="Z16" s="276"/>
      <c r="AB16" s="278" t="str">
        <f t="shared" si="5"/>
        <v>TinSmelter not yet identified</v>
      </c>
    </row>
    <row r="17" spans="1:28" s="277" customFormat="1" ht="19.899999999999999"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899999999999999"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3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Sensitec GmbH</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 xml:space="preserve">Design and production of magnetic micro systems </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Dr. Christoph Schug</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christoph.schug@sensitec.com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+49 6441 5291 123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Rolf Slatter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rolf.slatter@sensitec.com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44103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50%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50%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50%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50%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https://www.sensitec.com/fileadmin/sensitec/Service_and_Support/Downloads/Declaration_of_Conformity/SENSITEC_Conformity_REACh-RoHS-ConflictMinerals_EN.pdf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060324a1-f66f-4c36-a8ec-beadbf2f4219"/>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Schug, Dr. Christoph</cp:lastModifiedBy>
  <cp:lastPrinted>2015-04-21T20:47:43Z</cp:lastPrinted>
  <dcterms:created xsi:type="dcterms:W3CDTF">2010-06-21T21:00:23Z</dcterms:created>
  <dcterms:modified xsi:type="dcterms:W3CDTF">2020-11-26T09:14:34Z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